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_Boundary" sheetId="1" state="visible" r:id="rId3"/>
    <sheet name="DB_Master" sheetId="2" state="visible" r:id="rId4"/>
    <sheet name="GHG_Master_Calculato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<sst xmlns="http://schemas.openxmlformats.org/spreadsheetml/2006/main" count="438" uniqueCount="290">
  <si>
    <t xml:space="preserve">GHG Emissions Inventory - Boundary &amp; Reporting Basis</t>
  </si>
  <si>
    <t xml:space="preserve">1. Reporting Entity</t>
  </si>
  <si>
    <t xml:space="preserve">Company / Facility Name</t>
  </si>
  <si>
    <t xml:space="preserve">Legal entity or facility this inventory covers</t>
  </si>
  <si>
    <t xml:space="preserve">Reporting Period</t>
  </si>
  <si>
    <t xml:space="preserve">e.g. 1 Apr 2025 - 31 Mar 2026</t>
  </si>
  <si>
    <t xml:space="preserve">Base Year</t>
  </si>
  <si>
    <t xml:space="preserve">REQUIRED for tracking reductions over time - GHG Protocol mandates a fixed base year</t>
  </si>
  <si>
    <t xml:space="preserve">Prepared By / Contact</t>
  </si>
  <si>
    <t xml:space="preserve">Date of Preparation</t>
  </si>
  <si>
    <t xml:space="preserve">2. Organizational Boundary (choose ONE consolidation approach)</t>
  </si>
  <si>
    <t xml:space="preserve">Consolidation Approach</t>
  </si>
  <si>
    <t xml:space="preserve">Select one</t>
  </si>
  <si>
    <t xml:space="preserve">Determines which facilities/entities are consolidated into this inventory - see GHG Protocol Corporate Standard Ch.3</t>
  </si>
  <si>
    <t xml:space="preserve">Entities/Facilities Included</t>
  </si>
  <si>
    <t xml:space="preserve">List every facility or subsidiary consolidated under the chosen approach</t>
  </si>
  <si>
    <t xml:space="preserve">Entities/Facilities Explicitly Excluded</t>
  </si>
  <si>
    <t xml:space="preserve">Document any exclusion and the reason (e.g. divested, immaterial, no operational control)</t>
  </si>
  <si>
    <t xml:space="preserve">3. Operational Boundary (which scopes are covered)</t>
  </si>
  <si>
    <t xml:space="preserve">Scope 1 (Direct Emissions)</t>
  </si>
  <si>
    <t xml:space="preserve">Included</t>
  </si>
  <si>
    <t xml:space="preserve">Scope 2 (Purchased Energy)</t>
  </si>
  <si>
    <t xml:space="preserve">Scope 3 (Value Chain)</t>
  </si>
  <si>
    <t xml:space="preserve">Scope 3 Categories Excluded (if any)</t>
  </si>
  <si>
    <t xml:space="preserve">List category numbers 1-15 excluded and justification - see GHG_Master_Calculator tab for the full category list</t>
  </si>
  <si>
    <t xml:space="preserve">4. Methodology &amp; Standards Applied</t>
  </si>
  <si>
    <t xml:space="preserve">Primary Standard</t>
  </si>
  <si>
    <t xml:space="preserve">GHG Protocol Corporate Standard + Corporate Value Chain (Scope 3) Standard</t>
  </si>
  <si>
    <t xml:space="preserve">e.g. GHG Protocol Corporate Standard + Scope 3 Standard; or ISO 14064-1</t>
  </si>
  <si>
    <t xml:space="preserve">GWP Values Used</t>
  </si>
  <si>
    <t xml:space="preserve">IPCC AR4 (verify against your disclosure framework's required vintage)</t>
  </si>
  <si>
    <t xml:space="preserve">Confirm IPCC Assessment Report vintage - see DB_Master notes column for per-factor citations</t>
  </si>
  <si>
    <t xml:space="preserve">Scope 2 Reporting Method</t>
  </si>
  <si>
    <t xml:space="preserve">Dual reporting: Location-based + Market-based (see GHG_Master_Calculator)</t>
  </si>
  <si>
    <t xml:space="preserve">GHG Protocol Scope 2 Guidance requires BOTH methods where applicable</t>
  </si>
  <si>
    <t xml:space="preserve">5. Assurance Status</t>
  </si>
  <si>
    <t xml:space="preserve">Third-Party Verification Status</t>
  </si>
  <si>
    <t xml:space="preserve">e.g. Not yet verified / Limited assurance / Reasonable assurance, and by whom</t>
  </si>
  <si>
    <t xml:space="preserve">Data Quality Approach</t>
  </si>
  <si>
    <t xml:space="preserve">Every line item in GHG_Master_Calculator has a Data Quality tier - see that tab</t>
  </si>
  <si>
    <t xml:space="preserve">6. Materiality &amp; Exclusion Policy</t>
  </si>
  <si>
    <t xml:space="preserve">Materiality Threshold</t>
  </si>
  <si>
    <t xml:space="preserve">e.g. 5% of total inventory, or an absolute tCO2e cutoff -- state the basis for excluding immaterial sources</t>
  </si>
  <si>
    <t xml:space="preserve">Sources Excluded as Immaterial</t>
  </si>
  <si>
    <t xml:space="preserve">List any emission source knowingly left out because it falls below the materiality threshold, with rationale</t>
  </si>
  <si>
    <t xml:space="preserve">CO2e Conversion Note</t>
  </si>
  <si>
    <t xml:space="preserve">Confirm whether Scope 1/2 combustion factors used are CO2-only or full CO2e -- see DB_Master notes column per factor</t>
  </si>
  <si>
    <t xml:space="preserve">7. Version History</t>
  </si>
  <si>
    <t xml:space="preserve">Version</t>
  </si>
  <si>
    <t xml:space="preserve">Date</t>
  </si>
  <si>
    <t xml:space="preserve">Changes</t>
  </si>
  <si>
    <t xml:space="preserve">v5</t>
  </si>
  <si>
    <t xml:space="preserve">CO2e labeling correction; materiality/exclusion fields added</t>
  </si>
  <si>
    <t xml:space="preserve">Lookup Key</t>
  </si>
  <si>
    <t xml:space="preserve">Emission Factor</t>
  </si>
  <si>
    <t xml:space="preserve">Source / Notes</t>
  </si>
  <si>
    <t xml:space="preserve">Diesel_Fuel</t>
  </si>
  <si>
    <t xml:space="preserve">India GHG Program base CO2 factor (2.64) + ~0.6% CH4/N2O uplift per US EPA GHG Equivalencies methodology (2024) = 2.6558 kgCO2e -- uplift is a documented approximation (CO2 is &gt;99% of combustion CO2e per EPA), not an India-specific measured N2O/CH4 split</t>
  </si>
  <si>
    <t xml:space="preserve">Petrol_Fuel</t>
  </si>
  <si>
    <t xml:space="preserve">India GHG Program base CO2 factor (2.27) + ~0.6% CH4/N2O uplift per US EPA GHG Equivalencies methodology (2024) = 2.2836 kgCO2e -- uplift is a documented approximation (CO2 is &gt;99% of combustion CO2e per EPA), not an India-specific measured N2O/CH4 split</t>
  </si>
  <si>
    <t xml:space="preserve">CNG_Fuel</t>
  </si>
  <si>
    <t xml:space="preserve">India GHG Program base CO2 factor (2.67) + ~0.6% CH4/N2O uplift per US EPA GHG Equivalencies methodology (2024) = 2.686 kgCO2e -- uplift is a documented approximation (CO2 is &gt;99% of combustion CO2e per EPA), not an India-specific measured N2O/CH4 split</t>
  </si>
  <si>
    <t xml:space="preserve">LPG_Commercial</t>
  </si>
  <si>
    <t xml:space="preserve">India GHG Program base CO2 factor (2.98) + ~0.6% CH4/N2O uplift per US EPA GHG Equivalencies methodology (2024) = 2.9979 kgCO2e -- uplift is a documented approximation (CO2 is &gt;99% of combustion CO2e per EPA), not an India-specific measured N2O/CH4 split</t>
  </si>
  <si>
    <t xml:space="preserve">Coal_Indian</t>
  </si>
  <si>
    <t xml:space="preserve">India GHG Program base CO2 factor (1.98) + ~0.6% CH4/N2O uplift per US EPA GHG Equivalencies methodology (2024) = 1.9919 kgCO2e -- uplift is a documented approximation (CO2 is &gt;99% of combustion CO2e per EPA), not an India-specific measured N2O/CH4 split</t>
  </si>
  <si>
    <t xml:space="preserve">Furnace_Oil</t>
  </si>
  <si>
    <t xml:space="preserve">India GHG Program base CO2 factor (3.1) + ~0.6% CH4/N2O uplift per US EPA GHG Equivalencies methodology (2024) = 3.1186 kgCO2e -- uplift is a documented approximation (CO2 is &gt;99% of combustion CO2e per EPA), not an India-specific measured N2O/CH4 split</t>
  </si>
  <si>
    <t xml:space="preserve">Natural_Gas</t>
  </si>
  <si>
    <t xml:space="preserve">India GHG Program base CO2 factor (1.88) + ~0.6% CH4/N2O uplift per US EPA GHG Equivalencies methodology (2024) = 1.8913 kgCO2e -- uplift is a documented approximation (CO2 is &gt;99% of combustion CO2e per EPA), not an India-specific measured N2O/CH4 split</t>
  </si>
  <si>
    <t xml:space="preserve">Acetylene_Welding</t>
  </si>
  <si>
    <t xml:space="preserve">India GHG Program base CO2 factor (3.38) + ~0.6% CH4/N2O uplift per US EPA GHG Equivalencies methodology (2024) = 3.4003 kgCO2e -- uplift is a documented approximation (CO2 is &gt;99% of combustion CO2e per EPA), not an India-specific measured N2O/CH4 split</t>
  </si>
  <si>
    <t xml:space="preserve">Fire_Extinguisher_CO2</t>
  </si>
  <si>
    <t xml:space="preserve">GWP of CO2 = 1, all AR vintages (kgCO2e/kg)</t>
  </si>
  <si>
    <t xml:space="preserve">Refrig_R32</t>
  </si>
  <si>
    <t xml:space="preserve">IPCC AR4 GWP-100 (kgCO2e/kg) -- verify vintage required by your framework</t>
  </si>
  <si>
    <t xml:space="preserve">Refrig_R410A</t>
  </si>
  <si>
    <t xml:space="preserve">Refrig_R22</t>
  </si>
  <si>
    <t xml:space="preserve">Grid_India_CEA</t>
  </si>
  <si>
    <t xml:space="preserve">India GHG Program base CO2 factor (0.727) + ~0.6% CH4/N2O uplift per US EPA GHG Equivalencies methodology (2024) = 0.7314 kgCO2e -- uplift is a documented approximation (CO2 is &gt;99% of combustion CO2e per EPA), not an India-specific measured N2O/CH4 split</t>
  </si>
  <si>
    <t xml:space="preserve">Grid_MarketBased_Default</t>
  </si>
  <si>
    <t xml:space="preserve">REC_Backed_Electricity</t>
  </si>
  <si>
    <t xml:space="preserve">Renewable Energy Certificate / PPA-backed electricity, zero-rated per market-based method (kgCO2/kWh) -- confirm REC is unbundled and not double-counted</t>
  </si>
  <si>
    <t xml:space="preserve">Purchased_Steam</t>
  </si>
  <si>
    <t xml:space="preserve">India GHG Program base CO2 factor (0.18) + ~0.6% CH4/N2O uplift per US EPA GHG Equivalencies methodology (2024) = 0.1811 kgCO2e -- uplift is a documented approximation (CO2 is &gt;99% of combustion CO2e per EPA), not an India-specific measured N2O/CH4 split</t>
  </si>
  <si>
    <t xml:space="preserve">Transport_Truck_tkm</t>
  </si>
  <si>
    <t xml:space="preserve">India Road Logistics (kgCO2/tonne-km)</t>
  </si>
  <si>
    <t xml:space="preserve">Transport_LCV_km</t>
  </si>
  <si>
    <t xml:space="preserve">Light Commercial Vehicle (kgCO2/km)</t>
  </si>
  <si>
    <t xml:space="preserve">Transport_HGV_km</t>
  </si>
  <si>
    <t xml:space="preserve">Heavy Goods Vehicle (kgCO2/km)</t>
  </si>
  <si>
    <t xml:space="preserve">Rail_Freight</t>
  </si>
  <si>
    <t xml:space="preserve">Indian Railways Freight (kgCO2/tonne-km)</t>
  </si>
  <si>
    <t xml:space="preserve">Rail_Passenger</t>
  </si>
  <si>
    <t xml:space="preserve">Indian Railways Passenger (kgCO2/p-km)</t>
  </si>
  <si>
    <t xml:space="preserve">Air_Domestic</t>
  </si>
  <si>
    <t xml:space="preserve">Domestic Flights India (kgCO2/p-km)</t>
  </si>
  <si>
    <t xml:space="preserve">Air_International</t>
  </si>
  <si>
    <t xml:space="preserve">DEFRA/DESNZ 2025 UK Government GHG Conversion Factors -- long-haul economy, with radiative forcing (kgCO2e/passenger-km)</t>
  </si>
  <si>
    <t xml:space="preserve">Air_Freight_Cargo</t>
  </si>
  <si>
    <t xml:space="preserve">India GHG Program (kgCO2/tonne-km)</t>
  </si>
  <si>
    <t xml:space="preserve">Taxi_Diesel</t>
  </si>
  <si>
    <t xml:space="preserve">India GHG Program (kgCO2/km)</t>
  </si>
  <si>
    <t xml:space="preserve">Commute_2Wheeler</t>
  </si>
  <si>
    <t xml:space="preserve">Scooter/Bike Avg (kgCO2/km)</t>
  </si>
  <si>
    <t xml:space="preserve">Commute_Car_Avg</t>
  </si>
  <si>
    <t xml:space="preserve">Avg Small Car (kgCO2/km)</t>
  </si>
  <si>
    <t xml:space="preserve">Commute_Car_Small</t>
  </si>
  <si>
    <t xml:space="preserve">Small Car Segment (kgCO2/km)</t>
  </si>
  <si>
    <t xml:space="preserve">Commute_Car_Large</t>
  </si>
  <si>
    <t xml:space="preserve">Large Car Segment (kgCO2/km)</t>
  </si>
  <si>
    <t xml:space="preserve">Commute_Bus</t>
  </si>
  <si>
    <t xml:space="preserve">City Bus Service (kgCO2/p-km)</t>
  </si>
  <si>
    <t xml:space="preserve">Metro_Rail</t>
  </si>
  <si>
    <t xml:space="preserve">Metro Rail (kgCO2/p-km)</t>
  </si>
  <si>
    <t xml:space="preserve">Waste_Landfill</t>
  </si>
  <si>
    <t xml:space="preserve">Indian Landfill Methane (kgCO2e/kg waste)</t>
  </si>
  <si>
    <t xml:space="preserve">Waste_Recycle</t>
  </si>
  <si>
    <t xml:space="preserve">Transport energy only (kgCO2/kg)</t>
  </si>
  <si>
    <t xml:space="preserve">Waste_Incineration</t>
  </si>
  <si>
    <t xml:space="preserve">India GHG Program estimate (kgCO2e/kg) -- verify locally</t>
  </si>
  <si>
    <t xml:space="preserve">Wastewater_Treatment</t>
  </si>
  <si>
    <t xml:space="preserve">India GHG Program (kgCO2/m3)</t>
  </si>
  <si>
    <t xml:space="preserve">Water_Supply</t>
  </si>
  <si>
    <t xml:space="preserve">Cross-validated against international benchmarks: NZ Water Sector 2020/21 national methodology (~1.6-2.8 MJ/m3 energy intensity) and US LCA estimates (0.34-0.46 kgCO2/m3) both converge near this value -- no India-specific published factor exists; treat as an international proxy, not an India-measured figure</t>
  </si>
  <si>
    <t xml:space="preserve">Paper_Virgin</t>
  </si>
  <si>
    <t xml:space="preserve">India GHG Program (kgCO2/kg)</t>
  </si>
  <si>
    <t xml:space="preserve">Paper_Recycled</t>
  </si>
  <si>
    <t xml:space="preserve">Plastic_Packaging</t>
  </si>
  <si>
    <t xml:space="preserve">Construction_Steel</t>
  </si>
  <si>
    <t xml:space="preserve">World Steel Association -- integrated mill (BOF) production route (kgCO2e/kg); India's steel sector is majority BOF/integrated-mill with lower recycled content than EU/UK, so integrated-mill figure is the more representative default -- verify against specific supplier EPD where available</t>
  </si>
  <si>
    <t xml:space="preserve">Cement_Portland</t>
  </si>
  <si>
    <t xml:space="preserve">Spend_IT</t>
  </si>
  <si>
    <t xml:space="preserve">Proxy: 5 tCO2 per Million INR spend</t>
  </si>
  <si>
    <t xml:space="preserve">Spend_Construction</t>
  </si>
  <si>
    <t xml:space="preserve">Proxy: 12 tCO2 per Million INR spend</t>
  </si>
  <si>
    <t xml:space="preserve">Spend_Generic_Services</t>
  </si>
  <si>
    <t xml:space="preserve">Proxy: 3 tCO2 per Million INR spend -- use only where no better data exists</t>
  </si>
  <si>
    <t xml:space="preserve">Laptop_Unit</t>
  </si>
  <si>
    <t xml:space="preserve">Embodied carbon per unit (kgCO2e/unit)</t>
  </si>
  <si>
    <t xml:space="preserve">Desktop_Unit</t>
  </si>
  <si>
    <t xml:space="preserve">Smartphone_Unit</t>
  </si>
  <si>
    <t xml:space="preserve">Furniture</t>
  </si>
  <si>
    <t xml:space="preserve">Office furniture (kgCO2/kg)</t>
  </si>
  <si>
    <t xml:space="preserve">Grid_TD_Loss</t>
  </si>
  <si>
    <t xml:space="preserve">India GHG Program base CO2 factor (0.145) + ~0.6% CH4/N2O uplift per US EPA GHG Equivalencies methodology (2024) = 0.1459 kgCO2e -- uplift is a documented approximation (CO2 is &gt;99% of combustion CO2e per EPA), not an India-specific measured N2O/CH4 split</t>
  </si>
  <si>
    <t xml:space="preserve">WTT_Diesel</t>
  </si>
  <si>
    <t xml:space="preserve">India GHG Program base CO2 factor (0.58) + ~0.6% CH4/N2O uplift per US EPA GHG Equivalencies methodology (2024) = 0.5835 kgCO2e -- uplift is a documented approximation (CO2 is &gt;99% of combustion CO2e per EPA), not an India-specific measured N2O/CH4 split</t>
  </si>
  <si>
    <t xml:space="preserve">WTT_Petrol</t>
  </si>
  <si>
    <t xml:space="preserve">India GHG Program base CO2 factor (0.46) + ~0.6% CH4/N2O uplift per US EPA GHG Equivalencies methodology (2024) = 0.4628 kgCO2e -- uplift is a documented approximation (CO2 is &gt;99% of combustion CO2e per EPA), not an India-specific measured N2O/CH4 split</t>
  </si>
  <si>
    <t xml:space="preserve">Hotel_5Star</t>
  </si>
  <si>
    <t xml:space="preserve">India GHG Program (kgCO2e/night)</t>
  </si>
  <si>
    <t xml:space="preserve">Hotel_Budget</t>
  </si>
  <si>
    <t xml:space="preserve">Product_Use_Phase_Energy</t>
  </si>
  <si>
    <t xml:space="preserve">PLACEHOLDER -- Category 11 (Use of Sold Products); populate with product-specific energy-use profile (kgCO2e/unit sold)</t>
  </si>
  <si>
    <t xml:space="preserve">Product_EndOfLife</t>
  </si>
  <si>
    <t xml:space="preserve">PLACEHOLDER -- Category 12 (End-of-Life); populate with disposal-method-weighted factor (kgCO2e/unit sold)</t>
  </si>
  <si>
    <t xml:space="preserve">Investment_Equity_Share</t>
  </si>
  <si>
    <t xml:space="preserve">PLACEHOLDER -- Category 15 (Investments); populate with equity-share-weighted investee emissions (kgCO2e/INR invested)</t>
  </si>
  <si>
    <t xml:space="preserve">Franchise_Estimate</t>
  </si>
  <si>
    <t xml:space="preserve">PLACEHOLDER -- Category 14 (Franchises); populate with franchise-reported or estimated emissions (kgCO2e/franchise)</t>
  </si>
  <si>
    <t xml:space="preserve">Leased_Asset_Downstream</t>
  </si>
  <si>
    <t xml:space="preserve">PLACEHOLDER -- Category 13 (Downstream Leased Assets); populate with lessee-reported energy use (kgCO2e/unit)</t>
  </si>
  <si>
    <t xml:space="preserve">Financed_Emissions_Passthrough</t>
  </si>
  <si>
    <t xml:space="preserve">Direct pass-through of reported financed emissions (tCO2e/tCO2e)</t>
  </si>
  <si>
    <t xml:space="preserve">Processing_Sold_Products_Proxy</t>
  </si>
  <si>
    <t xml:space="preserve">PLACEHOLDER -- Category 10 (Processing of Sold Products); relevant only if selling intermediate goods for further processing; populate with downstream processor energy data (kgCO2e/unit sold)</t>
  </si>
  <si>
    <t xml:space="preserve">SCOPE 1 - DIRECT EMISSIONS</t>
  </si>
  <si>
    <t xml:space="preserve">Category / Item</t>
  </si>
  <si>
    <t xml:space="preserve">Quantity (Input)</t>
  </si>
  <si>
    <t xml:space="preserve">Unit</t>
  </si>
  <si>
    <t xml:space="preserve">Data Quality</t>
  </si>
  <si>
    <t xml:space="preserve">Result (tCO2e)</t>
  </si>
  <si>
    <t xml:space="preserve">Formula (live)</t>
  </si>
  <si>
    <t xml:space="preserve">Flag</t>
  </si>
  <si>
    <t xml:space="preserve">Stationary Combustion</t>
  </si>
  <si>
    <t xml:space="preserve">Diesel Generator (DG Sets)</t>
  </si>
  <si>
    <t xml:space="preserve">Liters</t>
  </si>
  <si>
    <t xml:space="preserve">Not Yet Assessed</t>
  </si>
  <si>
    <t xml:space="preserve">Furnace Oil (Boilers)</t>
  </si>
  <si>
    <t xml:space="preserve">Natural Gas</t>
  </si>
  <si>
    <t xml:space="preserve">scm</t>
  </si>
  <si>
    <t xml:space="preserve">Indian Coal (Boilers)</t>
  </si>
  <si>
    <t xml:space="preserve">kg</t>
  </si>
  <si>
    <t xml:space="preserve">Commercial LPG</t>
  </si>
  <si>
    <t xml:space="preserve">Mobile Combustion (Owned/Leased Vehicles)</t>
  </si>
  <si>
    <t xml:space="preserve">Petrol Company Cars</t>
  </si>
  <si>
    <t xml:space="preserve">Diesel Company Vehicles</t>
  </si>
  <si>
    <t xml:space="preserve">CNG Vehicles</t>
  </si>
  <si>
    <t xml:space="preserve">Fugitive Emissions</t>
  </si>
  <si>
    <t xml:space="preserve">Refrigerant Top-up - R-32</t>
  </si>
  <si>
    <t xml:space="preserve">Refrigerant Top-up - R-410A</t>
  </si>
  <si>
    <t xml:space="preserve">Refrigerant Top-up - R-22</t>
  </si>
  <si>
    <t xml:space="preserve">Process Emissions</t>
  </si>
  <si>
    <t xml:space="preserve">Acetylene Welding</t>
  </si>
  <si>
    <t xml:space="preserve">CO2 Fire Extinguisher Discharge</t>
  </si>
  <si>
    <t xml:space="preserve">SCOPE 1 TOTAL</t>
  </si>
  <si>
    <t xml:space="preserve">SCOPE 2 - PURCHASED ENERGY (Dual Reporting per GHG Protocol Scope 2 Guidance)</t>
  </si>
  <si>
    <t xml:space="preserve">Location-Based Method (grid average emission factor)</t>
  </si>
  <si>
    <t xml:space="preserve">Office Electricity - Grid Average</t>
  </si>
  <si>
    <t xml:space="preserve">kWh</t>
  </si>
  <si>
    <t xml:space="preserve">Factory Electricity - Grid Average</t>
  </si>
  <si>
    <t xml:space="preserve">Warehouse Electricity - Grid Average</t>
  </si>
  <si>
    <t xml:space="preserve">Purchased Steam</t>
  </si>
  <si>
    <t xml:space="preserve">SCOPE 2 TOTAL (Location-Based)</t>
  </si>
  <si>
    <t xml:space="preserve">Market-Based Method (supplier-specific / REC / residual mix)</t>
  </si>
  <si>
    <t xml:space="preserve">Office Electricity - Supplier/Residual Mix</t>
  </si>
  <si>
    <t xml:space="preserve">Factory Electricity - Supplier/Residual Mix</t>
  </si>
  <si>
    <t xml:space="preserve">Renewable/REC-Backed Electricity Purchased</t>
  </si>
  <si>
    <t xml:space="preserve">SCOPE 2 TOTAL (Market-Based)</t>
  </si>
  <si>
    <t xml:space="preserve">SCOPE 3 - VALUE CHAIN (all 15 GHG Protocol categories)</t>
  </si>
  <si>
    <t xml:space="preserve">Category 1: Purchased Goods &amp; Services</t>
  </si>
  <si>
    <t xml:space="preserve">IT / Professional Services (Spend)</t>
  </si>
  <si>
    <t xml:space="preserve">INR</t>
  </si>
  <si>
    <t xml:space="preserve">Construction / Repairs (Spend)</t>
  </si>
  <si>
    <t xml:space="preserve">Generic Purchased Services (Spend)</t>
  </si>
  <si>
    <t xml:space="preserve">Virgin Paper Procurement</t>
  </si>
  <si>
    <t xml:space="preserve">Recycled Paper Procurement</t>
  </si>
  <si>
    <t xml:space="preserve">Plastic Packaging Procurement</t>
  </si>
  <si>
    <t xml:space="preserve">Construction Steel Procurement</t>
  </si>
  <si>
    <t xml:space="preserve">Cement Procurement</t>
  </si>
  <si>
    <t xml:space="preserve">Category 2: Capital Goods</t>
  </si>
  <si>
    <t xml:space="preserve">Laptops Purchased</t>
  </si>
  <si>
    <t xml:space="preserve">Units</t>
  </si>
  <si>
    <t xml:space="preserve">Desktops Purchased</t>
  </si>
  <si>
    <t xml:space="preserve">Smartphones Purchased</t>
  </si>
  <si>
    <t xml:space="preserve">Office Furniture Purchased</t>
  </si>
  <si>
    <t xml:space="preserve">Category 3: Fuel- and Energy-Related Activities (not in Scope 1/2)</t>
  </si>
  <si>
    <t xml:space="preserve">Well-to-Tank: Diesel</t>
  </si>
  <si>
    <t xml:space="preserve">Well-to-Tank: Petrol</t>
  </si>
  <si>
    <t xml:space="preserve">Grid T&amp;D Losses</t>
  </si>
  <si>
    <t xml:space="preserve">Category 4: Upstream Transportation &amp; Distribution</t>
  </si>
  <si>
    <t xml:space="preserve">Inbound Trucking (Diesel, tonne-km)</t>
  </si>
  <si>
    <t xml:space="preserve">tonne-km</t>
  </si>
  <si>
    <t xml:space="preserve">Inbound LCV Delivery</t>
  </si>
  <si>
    <t xml:space="preserve">km</t>
  </si>
  <si>
    <t xml:space="preserve">Inbound HGV Delivery</t>
  </si>
  <si>
    <t xml:space="preserve">Inbound Rail Freight</t>
  </si>
  <si>
    <t xml:space="preserve">Inbound Air Freight</t>
  </si>
  <si>
    <t xml:space="preserve">Category 5: Waste Generated in Operations</t>
  </si>
  <si>
    <t xml:space="preserve">Waste to Landfill</t>
  </si>
  <si>
    <t xml:space="preserve">Waste Recycled</t>
  </si>
  <si>
    <t xml:space="preserve">Waste Incinerated</t>
  </si>
  <si>
    <t xml:space="preserve">Wastewater Treated</t>
  </si>
  <si>
    <t xml:space="preserve">m3</t>
  </si>
  <si>
    <t xml:space="preserve">Category 6: Business Travel</t>
  </si>
  <si>
    <t xml:space="preserve">Domestic Flights</t>
  </si>
  <si>
    <t xml:space="preserve">p-km</t>
  </si>
  <si>
    <t xml:space="preserve">International Flights</t>
  </si>
  <si>
    <t xml:space="preserve">Rail Travel</t>
  </si>
  <si>
    <t xml:space="preserve">Taxi Travel</t>
  </si>
  <si>
    <t xml:space="preserve">Hotel Nights - 5 Star</t>
  </si>
  <si>
    <t xml:space="preserve">Nights</t>
  </si>
  <si>
    <t xml:space="preserve">Hotel Nights - Budget</t>
  </si>
  <si>
    <t xml:space="preserve">Category 7: Employee Commuting</t>
  </si>
  <si>
    <t xml:space="preserve">Two-Wheeler Commute</t>
  </si>
  <si>
    <t xml:space="preserve">Car Commute - Small Segment</t>
  </si>
  <si>
    <t xml:space="preserve">Car Commute - Average</t>
  </si>
  <si>
    <t xml:space="preserve">Car Commute - Large Segment</t>
  </si>
  <si>
    <t xml:space="preserve">Bus Commute</t>
  </si>
  <si>
    <t xml:space="preserve">Metro Rail Commute</t>
  </si>
  <si>
    <t xml:space="preserve">Category 8: Upstream Leased Assets</t>
  </si>
  <si>
    <t xml:space="preserve">CAUTION: include only assets NOT already captured in Scope 1/2 under your Cover_Boundary consolidation approach - avoid double counting</t>
  </si>
  <si>
    <t xml:space="preserve">Leased Office/Warehouse Electricity</t>
  </si>
  <si>
    <t xml:space="preserve">Leased Facility Water Use</t>
  </si>
  <si>
    <t xml:space="preserve">Category 9: Downstream Transportation &amp; Distribution</t>
  </si>
  <si>
    <t xml:space="preserve">Outbound Trucking to Customers</t>
  </si>
  <si>
    <t xml:space="preserve">Outbound Air Freight to Customers</t>
  </si>
  <si>
    <t xml:space="preserve">Outbound Rail Distribution</t>
  </si>
  <si>
    <t xml:space="preserve">Category 10: Processing of Sold Products</t>
  </si>
  <si>
    <t xml:space="preserve">Third-Party Processing of Intermediate Goods (if applicable)</t>
  </si>
  <si>
    <t xml:space="preserve">Category 11: Use of Sold Products</t>
  </si>
  <si>
    <t xml:space="preserve">Estimated Product Use-Phase Energy</t>
  </si>
  <si>
    <t xml:space="preserve">Units Sold</t>
  </si>
  <si>
    <t xml:space="preserve">Category 12: End-of-Life Treatment of Sold Products</t>
  </si>
  <si>
    <t xml:space="preserve">Estimated End-of-Life Emissions</t>
  </si>
  <si>
    <t xml:space="preserve">Category 13: Downstream Leased Assets</t>
  </si>
  <si>
    <t xml:space="preserve">Assets Leased to Others - Energy Use</t>
  </si>
  <si>
    <t xml:space="preserve">Category 14: Franchises</t>
  </si>
  <si>
    <t xml:space="preserve">Franchise Operations (if applicable)</t>
  </si>
  <si>
    <t xml:space="preserve">Franchises</t>
  </si>
  <si>
    <t xml:space="preserve">Category 15: Investments</t>
  </si>
  <si>
    <t xml:space="preserve">Equity-Share-Weighted Investee Emissions</t>
  </si>
  <si>
    <t xml:space="preserve">INR Invested</t>
  </si>
  <si>
    <t xml:space="preserve">Financed Emissions (Financial Sector - direct pass-through)</t>
  </si>
  <si>
    <t xml:space="preserve">tCO2e Reported</t>
  </si>
  <si>
    <t xml:space="preserve">SCOPE 3 TOTAL (all 15 categories)</t>
  </si>
  <si>
    <t xml:space="preserve">GRAND TOTAL (Location-Based Scope 2)</t>
  </si>
  <si>
    <t xml:space="preserve">GRAND TOTAL (Market-Based Scope 2)</t>
  </si>
  <si>
    <t xml:space="preserve">Note: the two Grand Totals are ALTERNATIVE views of the same inventory, differing only in Scope 2 method (GHG Protocol Scope 2 Guidance dual-reporting requirement). Do not sum them together - that would double-count Scope 1 and Scope 3.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</si>
</sst>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1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5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  <font>
      <sz val="10"/>
      <name val="Arial"/>
      <family val="0"/>
      <charset val="1"/>
    </font>
    <font>
      <sz val="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i val="true"/>
      <sz val="10"/>
      <name val="Arial"/>
      <family val="0"/>
      <charset val="1"/>
    </font>
    <font>
      <sz val="10"/>
      <color rgb="FF006100"/>
      <name val="Arial"/>
      <family val="0"/>
      <charset val="1"/>
    </font>
    <font>
      <i val="true"/>
      <sz val="9"/>
      <color rgb="FFC0000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D9E2E8"/>
        <bgColor rgb="FFDDEBF7"/>
      </patternFill>
    </fill>
    <fill>
      <patternFill patternType="solid">
        <fgColor rgb="FFFFF2CC"/>
        <bgColor rgb="FFFCE4D6"/>
      </patternFill>
    </fill>
    <fill>
      <patternFill patternType="solid">
        <fgColor rgb="FF1F4E5F"/>
        <bgColor rgb="FF333333"/>
      </patternFill>
    </fill>
    <fill>
      <patternFill patternType="solid">
        <fgColor rgb="FFFCE4D6"/>
        <bgColor rgb="FFFFF2CC"/>
      </patternFill>
    </fill>
    <fill>
      <patternFill patternType="solid">
        <fgColor rgb="FFDDEBF7"/>
        <bgColor rgb="FFD9E2E8"/>
      </patternFill>
    </fill>
    <fill>
      <patternFill patternType="solid">
        <fgColor rgb="FFC6E0B4"/>
        <bgColor rgb="FFD9E2E8"/>
      </patternFill>
    </fill>
    <fill>
      <patternFill patternType="solid">
        <fgColor rgb="FF70AD47"/>
        <bgColor rgb="FF33996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7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7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8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2" fillId="8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6E0B4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D9E2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1F4E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3" min="2" style="1" width="28"/>
    <col collapsed="false" customWidth="true" hidden="false" outlineLevel="0" max="4" min="4" style="1" width="55"/>
  </cols>
  <sheetData>
    <row r="1" customFormat="false" ht="19.5" hidden="false" customHeight="true" outlineLevel="0" collapsed="false">
      <c r="A1" s="2" t="s">
        <v>0</v>
      </c>
      <c r="B1" s="2"/>
      <c r="C1" s="2"/>
      <c r="D1" s="2"/>
    </row>
    <row r="3" customFormat="false" ht="15" hidden="false" customHeight="true" outlineLevel="0" collapsed="false">
      <c r="A3" s="3" t="s">
        <v>1</v>
      </c>
      <c r="B3" s="4"/>
      <c r="C3" s="4"/>
      <c r="D3" s="4"/>
    </row>
    <row r="4" customFormat="false" ht="15" hidden="false" customHeight="true" outlineLevel="0" collapsed="false">
      <c r="A4" s="5" t="s">
        <v>2</v>
      </c>
      <c r="B4" s="6"/>
      <c r="C4" s="6"/>
      <c r="D4" s="7" t="s">
        <v>3</v>
      </c>
    </row>
    <row r="5" customFormat="false" ht="15" hidden="false" customHeight="true" outlineLevel="0" collapsed="false">
      <c r="A5" s="5" t="s">
        <v>4</v>
      </c>
      <c r="B5" s="6"/>
      <c r="C5" s="6"/>
      <c r="D5" s="7" t="s">
        <v>5</v>
      </c>
    </row>
    <row r="6" customFormat="false" ht="15" hidden="false" customHeight="true" outlineLevel="0" collapsed="false">
      <c r="A6" s="5" t="s">
        <v>6</v>
      </c>
      <c r="B6" s="6"/>
      <c r="C6" s="6"/>
      <c r="D6" s="7" t="s">
        <v>7</v>
      </c>
    </row>
    <row r="7" customFormat="false" ht="15" hidden="false" customHeight="true" outlineLevel="0" collapsed="false">
      <c r="A7" s="5" t="s">
        <v>8</v>
      </c>
      <c r="B7" s="6"/>
      <c r="C7" s="6"/>
    </row>
    <row r="8" customFormat="false" ht="15" hidden="false" customHeight="true" outlineLevel="0" collapsed="false">
      <c r="A8" s="5" t="s">
        <v>9</v>
      </c>
      <c r="B8" s="6"/>
      <c r="C8" s="6"/>
    </row>
    <row r="10" customFormat="false" ht="15" hidden="false" customHeight="true" outlineLevel="0" collapsed="false">
      <c r="A10" s="3" t="s">
        <v>10</v>
      </c>
      <c r="B10" s="4"/>
      <c r="C10" s="4"/>
      <c r="D10" s="4"/>
    </row>
    <row r="11" customFormat="false" ht="15" hidden="false" customHeight="true" outlineLevel="0" collapsed="false">
      <c r="A11" s="5" t="s">
        <v>11</v>
      </c>
      <c r="B11" s="8" t="s">
        <v>12</v>
      </c>
      <c r="C11" s="8"/>
      <c r="D11" s="7" t="s">
        <v>13</v>
      </c>
    </row>
    <row r="12" customFormat="false" ht="15" hidden="false" customHeight="true" outlineLevel="0" collapsed="false">
      <c r="A12" s="5" t="s">
        <v>14</v>
      </c>
      <c r="B12" s="6"/>
      <c r="C12" s="6"/>
      <c r="D12" s="7" t="s">
        <v>15</v>
      </c>
    </row>
    <row r="13" customFormat="false" ht="15" hidden="false" customHeight="true" outlineLevel="0" collapsed="false">
      <c r="A13" s="5" t="s">
        <v>16</v>
      </c>
      <c r="B13" s="6"/>
      <c r="C13" s="6"/>
      <c r="D13" s="7" t="s">
        <v>17</v>
      </c>
    </row>
    <row r="15" customFormat="false" ht="15" hidden="false" customHeight="true" outlineLevel="0" collapsed="false">
      <c r="A15" s="3" t="s">
        <v>18</v>
      </c>
      <c r="B15" s="4"/>
      <c r="C15" s="4"/>
      <c r="D15" s="4"/>
    </row>
    <row r="16" customFormat="false" ht="15" hidden="false" customHeight="true" outlineLevel="0" collapsed="false">
      <c r="A16" s="5" t="s">
        <v>19</v>
      </c>
      <c r="B16" s="9" t="s">
        <v>20</v>
      </c>
    </row>
    <row r="17" customFormat="false" ht="15" hidden="false" customHeight="true" outlineLevel="0" collapsed="false">
      <c r="A17" s="5" t="s">
        <v>21</v>
      </c>
      <c r="B17" s="9" t="s">
        <v>20</v>
      </c>
    </row>
    <row r="18" customFormat="false" ht="15" hidden="false" customHeight="true" outlineLevel="0" collapsed="false">
      <c r="A18" s="5" t="s">
        <v>22</v>
      </c>
      <c r="B18" s="9" t="s">
        <v>20</v>
      </c>
    </row>
    <row r="19" customFormat="false" ht="15" hidden="false" customHeight="true" outlineLevel="0" collapsed="false">
      <c r="A19" s="5" t="s">
        <v>23</v>
      </c>
      <c r="B19" s="6"/>
      <c r="C19" s="6"/>
      <c r="D19" s="7" t="s">
        <v>24</v>
      </c>
    </row>
    <row r="21" customFormat="false" ht="15" hidden="false" customHeight="true" outlineLevel="0" collapsed="false">
      <c r="A21" s="3" t="s">
        <v>25</v>
      </c>
      <c r="B21" s="4"/>
      <c r="C21" s="4"/>
      <c r="D21" s="4"/>
    </row>
    <row r="22" customFormat="false" ht="15" hidden="false" customHeight="true" outlineLevel="0" collapsed="false">
      <c r="A22" s="5" t="s">
        <v>26</v>
      </c>
      <c r="B22" s="6" t="s">
        <v>27</v>
      </c>
      <c r="C22" s="6"/>
      <c r="D22" s="7" t="s">
        <v>28</v>
      </c>
    </row>
    <row r="23" customFormat="false" ht="15" hidden="false" customHeight="true" outlineLevel="0" collapsed="false">
      <c r="A23" s="5" t="s">
        <v>29</v>
      </c>
      <c r="B23" s="6" t="s">
        <v>30</v>
      </c>
      <c r="C23" s="6"/>
      <c r="D23" s="7" t="s">
        <v>31</v>
      </c>
    </row>
    <row r="24" customFormat="false" ht="15" hidden="false" customHeight="true" outlineLevel="0" collapsed="false">
      <c r="A24" s="5" t="s">
        <v>32</v>
      </c>
      <c r="B24" s="6" t="s">
        <v>33</v>
      </c>
      <c r="C24" s="6"/>
      <c r="D24" s="7" t="s">
        <v>34</v>
      </c>
    </row>
    <row r="26" customFormat="false" ht="15" hidden="false" customHeight="true" outlineLevel="0" collapsed="false">
      <c r="A26" s="3" t="s">
        <v>35</v>
      </c>
      <c r="B26" s="4"/>
      <c r="C26" s="4"/>
      <c r="D26" s="4"/>
    </row>
    <row r="27" customFormat="false" ht="15" hidden="false" customHeight="true" outlineLevel="0" collapsed="false">
      <c r="A27" s="5" t="s">
        <v>36</v>
      </c>
      <c r="B27" s="6"/>
      <c r="C27" s="6"/>
      <c r="D27" s="7" t="s">
        <v>37</v>
      </c>
    </row>
    <row r="28" customFormat="false" ht="15" hidden="false" customHeight="true" outlineLevel="0" collapsed="false">
      <c r="A28" s="5" t="s">
        <v>38</v>
      </c>
      <c r="B28" s="6"/>
      <c r="C28" s="6"/>
      <c r="D28" s="7" t="s">
        <v>39</v>
      </c>
    </row>
    <row r="30" customFormat="false" ht="15" hidden="false" customHeight="true" outlineLevel="0" collapsed="false">
      <c r="A30" s="3" t="s">
        <v>40</v>
      </c>
      <c r="B30" s="4"/>
      <c r="C30" s="4"/>
      <c r="D30" s="4"/>
    </row>
    <row r="31" customFormat="false" ht="15" hidden="false" customHeight="true" outlineLevel="0" collapsed="false">
      <c r="A31" s="5" t="s">
        <v>41</v>
      </c>
      <c r="B31" s="6"/>
      <c r="C31" s="6"/>
      <c r="D31" s="7" t="s">
        <v>42</v>
      </c>
    </row>
    <row r="32" customFormat="false" ht="15" hidden="false" customHeight="true" outlineLevel="0" collapsed="false">
      <c r="A32" s="5" t="s">
        <v>43</v>
      </c>
      <c r="B32" s="6"/>
      <c r="C32" s="6"/>
      <c r="D32" s="7" t="s">
        <v>44</v>
      </c>
    </row>
    <row r="33" customFormat="false" ht="15" hidden="false" customHeight="true" outlineLevel="0" collapsed="false">
      <c r="A33" s="5" t="s">
        <v>45</v>
      </c>
      <c r="B33" s="6"/>
      <c r="C33" s="6"/>
      <c r="D33" s="7" t="s">
        <v>46</v>
      </c>
    </row>
    <row r="35" customFormat="false" ht="15" hidden="false" customHeight="true" outlineLevel="0" collapsed="false">
      <c r="A35" s="3" t="s">
        <v>47</v>
      </c>
      <c r="B35" s="4"/>
      <c r="C35" s="4"/>
      <c r="D35" s="4"/>
    </row>
    <row r="36" customFormat="false" ht="15" hidden="false" customHeight="true" outlineLevel="0" collapsed="false">
      <c r="A36" s="5" t="s">
        <v>48</v>
      </c>
      <c r="B36" s="5" t="s">
        <v>49</v>
      </c>
      <c r="C36" s="5" t="s">
        <v>50</v>
      </c>
    </row>
    <row r="37" customFormat="false" ht="15" hidden="false" customHeight="true" outlineLevel="0" collapsed="false">
      <c r="A37" s="10" t="s">
        <v>51</v>
      </c>
      <c r="B37" s="11"/>
      <c r="C37" s="12" t="s">
        <v>52</v>
      </c>
    </row>
  </sheetData>
  <mergeCells count="18">
    <mergeCell ref="A1:D1"/>
    <mergeCell ref="B4:C4"/>
    <mergeCell ref="B5:C5"/>
    <mergeCell ref="B6:C6"/>
    <mergeCell ref="B7:C7"/>
    <mergeCell ref="B8:C8"/>
    <mergeCell ref="B11:C11"/>
    <mergeCell ref="B12:C12"/>
    <mergeCell ref="B13:C13"/>
    <mergeCell ref="B19:C19"/>
    <mergeCell ref="B22:C22"/>
    <mergeCell ref="B23:C23"/>
    <mergeCell ref="B24:C24"/>
    <mergeCell ref="B27:C27"/>
    <mergeCell ref="B28:C28"/>
    <mergeCell ref="B31:C31"/>
    <mergeCell ref="B32:C32"/>
    <mergeCell ref="B33:C33"/>
  </mergeCells>
  <dataValidations count="4">
    <dataValidation allowBlank="false" errorStyle="stop" operator="between" showDropDown="false" showErrorMessage="false" showInputMessage="false" sqref="B11" type="list">
      <formula1>"Equity Share,Operational Control,Financial Control"</formula1>
      <formula2>0</formula2>
    </dataValidation>
    <dataValidation allowBlank="false" errorStyle="stop" operator="between" showDropDown="false" showErrorMessage="false" showInputMessage="false" sqref="B16" type="list">
      <formula1>"Included,Excluded"</formula1>
      <formula2>0</formula2>
    </dataValidation>
    <dataValidation allowBlank="false" errorStyle="stop" operator="between" showDropDown="false" showErrorMessage="false" showInputMessage="false" sqref="B17" type="list">
      <formula1>"Included,Excluded"</formula1>
      <formula2>0</formula2>
    </dataValidation>
    <dataValidation allowBlank="false" errorStyle="stop" operator="between" showDropDown="false" showErrorMessage="false" showInputMessage="false" sqref="B18" type="list">
      <formula1>"Included,Excluded"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2.570312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6"/>
    <col collapsed="false" customWidth="true" hidden="false" outlineLevel="0" max="3" min="3" style="1" width="90"/>
  </cols>
  <sheetData>
    <row r="1" customFormat="false" ht="15.75" hidden="false" customHeight="true" outlineLevel="0" collapsed="false">
      <c r="A1" s="13" t="s">
        <v>53</v>
      </c>
      <c r="B1" s="13" t="s">
        <v>54</v>
      </c>
      <c r="C1" s="13" t="s">
        <v>55</v>
      </c>
      <c r="D1" s="10"/>
      <c r="E1" s="10"/>
      <c r="F1" s="10"/>
    </row>
    <row r="2" customFormat="false" ht="15.75" hidden="false" customHeight="true" outlineLevel="0" collapsed="false">
      <c r="A2" s="10" t="s">
        <v>56</v>
      </c>
      <c r="B2" s="14" t="n">
        <v>2.6558</v>
      </c>
      <c r="C2" s="7" t="s">
        <v>57</v>
      </c>
      <c r="D2" s="10"/>
      <c r="E2" s="10"/>
      <c r="F2" s="10"/>
    </row>
    <row r="3" customFormat="false" ht="15.75" hidden="false" customHeight="true" outlineLevel="0" collapsed="false">
      <c r="A3" s="10" t="s">
        <v>58</v>
      </c>
      <c r="B3" s="14" t="n">
        <v>2.2836</v>
      </c>
      <c r="C3" s="7" t="s">
        <v>59</v>
      </c>
      <c r="D3" s="10"/>
      <c r="E3" s="10"/>
      <c r="F3" s="10"/>
    </row>
    <row r="4" customFormat="false" ht="15.75" hidden="false" customHeight="true" outlineLevel="0" collapsed="false">
      <c r="A4" s="10" t="s">
        <v>60</v>
      </c>
      <c r="B4" s="14" t="n">
        <v>2.686</v>
      </c>
      <c r="C4" s="7" t="s">
        <v>61</v>
      </c>
      <c r="D4" s="10"/>
      <c r="E4" s="10"/>
      <c r="F4" s="10"/>
    </row>
    <row r="5" customFormat="false" ht="15.75" hidden="false" customHeight="true" outlineLevel="0" collapsed="false">
      <c r="A5" s="10" t="s">
        <v>62</v>
      </c>
      <c r="B5" s="14" t="n">
        <v>2.9979</v>
      </c>
      <c r="C5" s="7" t="s">
        <v>63</v>
      </c>
      <c r="D5" s="10"/>
      <c r="E5" s="10"/>
      <c r="F5" s="10"/>
    </row>
    <row r="6" customFormat="false" ht="15.75" hidden="false" customHeight="true" outlineLevel="0" collapsed="false">
      <c r="A6" s="10" t="s">
        <v>64</v>
      </c>
      <c r="B6" s="14" t="n">
        <v>1.9919</v>
      </c>
      <c r="C6" s="7" t="s">
        <v>65</v>
      </c>
      <c r="D6" s="10"/>
      <c r="E6" s="10"/>
      <c r="F6" s="10"/>
    </row>
    <row r="7" customFormat="false" ht="15.75" hidden="false" customHeight="true" outlineLevel="0" collapsed="false">
      <c r="A7" s="10" t="s">
        <v>66</v>
      </c>
      <c r="B7" s="14" t="n">
        <v>3.1186</v>
      </c>
      <c r="C7" s="7" t="s">
        <v>67</v>
      </c>
      <c r="D7" s="10"/>
      <c r="E7" s="10"/>
      <c r="F7" s="10"/>
    </row>
    <row r="8" customFormat="false" ht="15.75" hidden="false" customHeight="true" outlineLevel="0" collapsed="false">
      <c r="A8" s="10" t="s">
        <v>68</v>
      </c>
      <c r="B8" s="14" t="n">
        <v>1.8913</v>
      </c>
      <c r="C8" s="7" t="s">
        <v>69</v>
      </c>
      <c r="D8" s="10"/>
      <c r="E8" s="10"/>
      <c r="F8" s="10"/>
    </row>
    <row r="9" customFormat="false" ht="15.75" hidden="false" customHeight="true" outlineLevel="0" collapsed="false">
      <c r="A9" s="10" t="s">
        <v>70</v>
      </c>
      <c r="B9" s="14" t="n">
        <v>3.4003</v>
      </c>
      <c r="C9" s="7" t="s">
        <v>71</v>
      </c>
      <c r="D9" s="10"/>
      <c r="E9" s="10"/>
      <c r="F9" s="10"/>
    </row>
    <row r="10" customFormat="false" ht="15.75" hidden="false" customHeight="true" outlineLevel="0" collapsed="false">
      <c r="A10" s="10" t="s">
        <v>72</v>
      </c>
      <c r="B10" s="15" t="n">
        <v>1</v>
      </c>
      <c r="C10" s="12" t="s">
        <v>73</v>
      </c>
      <c r="D10" s="10"/>
      <c r="E10" s="10"/>
      <c r="F10" s="10"/>
    </row>
    <row r="11" customFormat="false" ht="15.75" hidden="false" customHeight="true" outlineLevel="0" collapsed="false">
      <c r="A11" s="10" t="s">
        <v>74</v>
      </c>
      <c r="B11" s="14" t="n">
        <v>675</v>
      </c>
      <c r="C11" s="7" t="s">
        <v>75</v>
      </c>
      <c r="D11" s="10"/>
      <c r="E11" s="10"/>
      <c r="F11" s="10"/>
    </row>
    <row r="12" customFormat="false" ht="15.75" hidden="false" customHeight="true" outlineLevel="0" collapsed="false">
      <c r="A12" s="10" t="s">
        <v>76</v>
      </c>
      <c r="B12" s="14" t="n">
        <v>2088</v>
      </c>
      <c r="C12" s="7" t="s">
        <v>75</v>
      </c>
      <c r="D12" s="10"/>
      <c r="E12" s="10"/>
      <c r="F12" s="10"/>
    </row>
    <row r="13" customFormat="false" ht="15.75" hidden="false" customHeight="true" outlineLevel="0" collapsed="false">
      <c r="A13" s="10" t="s">
        <v>77</v>
      </c>
      <c r="B13" s="14" t="n">
        <v>1810</v>
      </c>
      <c r="C13" s="7" t="s">
        <v>75</v>
      </c>
      <c r="D13" s="10"/>
      <c r="E13" s="10"/>
      <c r="F13" s="10"/>
    </row>
    <row r="14" customFormat="false" ht="15.75" hidden="false" customHeight="true" outlineLevel="0" collapsed="false">
      <c r="A14" s="10" t="s">
        <v>78</v>
      </c>
      <c r="B14" s="14" t="n">
        <v>0.7314</v>
      </c>
      <c r="C14" s="7" t="s">
        <v>79</v>
      </c>
      <c r="D14" s="10"/>
      <c r="E14" s="10"/>
      <c r="F14" s="10"/>
    </row>
    <row r="15" customFormat="false" ht="15.75" hidden="false" customHeight="true" outlineLevel="0" collapsed="false">
      <c r="A15" s="10" t="s">
        <v>80</v>
      </c>
      <c r="B15" s="14" t="n">
        <v>0.7314</v>
      </c>
      <c r="C15" s="7" t="s">
        <v>79</v>
      </c>
      <c r="D15" s="10"/>
      <c r="E15" s="10"/>
      <c r="F15" s="10"/>
    </row>
    <row r="16" customFormat="false" ht="15.75" hidden="false" customHeight="true" outlineLevel="0" collapsed="false">
      <c r="A16" s="10" t="s">
        <v>81</v>
      </c>
      <c r="B16" s="15" t="n">
        <v>0</v>
      </c>
      <c r="C16" s="12" t="s">
        <v>82</v>
      </c>
      <c r="D16" s="10"/>
      <c r="E16" s="10"/>
      <c r="F16" s="10"/>
    </row>
    <row r="17" customFormat="false" ht="15.75" hidden="false" customHeight="true" outlineLevel="0" collapsed="false">
      <c r="A17" s="10" t="s">
        <v>83</v>
      </c>
      <c r="B17" s="14" t="n">
        <v>0.1811</v>
      </c>
      <c r="C17" s="7" t="s">
        <v>84</v>
      </c>
      <c r="D17" s="10"/>
      <c r="E17" s="10"/>
      <c r="F17" s="10"/>
    </row>
    <row r="18" customFormat="false" ht="15.75" hidden="false" customHeight="true" outlineLevel="0" collapsed="false">
      <c r="A18" s="10" t="s">
        <v>85</v>
      </c>
      <c r="B18" s="15" t="n">
        <v>0.09</v>
      </c>
      <c r="C18" s="12" t="s">
        <v>86</v>
      </c>
      <c r="D18" s="10"/>
      <c r="E18" s="10"/>
      <c r="F18" s="10"/>
    </row>
    <row r="19" customFormat="false" ht="15.75" hidden="false" customHeight="true" outlineLevel="0" collapsed="false">
      <c r="A19" s="10" t="s">
        <v>87</v>
      </c>
      <c r="B19" s="15" t="n">
        <v>0.45</v>
      </c>
      <c r="C19" s="12" t="s">
        <v>88</v>
      </c>
      <c r="D19" s="10"/>
      <c r="E19" s="10"/>
      <c r="F19" s="10"/>
    </row>
    <row r="20" customFormat="false" ht="15.75" hidden="false" customHeight="true" outlineLevel="0" collapsed="false">
      <c r="A20" s="10" t="s">
        <v>89</v>
      </c>
      <c r="B20" s="15" t="n">
        <v>0.85</v>
      </c>
      <c r="C20" s="12" t="s">
        <v>90</v>
      </c>
      <c r="D20" s="10"/>
      <c r="E20" s="10"/>
      <c r="F20" s="10"/>
    </row>
    <row r="21" customFormat="false" ht="15.75" hidden="false" customHeight="true" outlineLevel="0" collapsed="false">
      <c r="A21" s="10" t="s">
        <v>91</v>
      </c>
      <c r="B21" s="15" t="n">
        <v>0.015</v>
      </c>
      <c r="C21" s="12" t="s">
        <v>92</v>
      </c>
      <c r="D21" s="10"/>
      <c r="E21" s="10"/>
      <c r="F21" s="10"/>
    </row>
    <row r="22" customFormat="false" ht="15.75" hidden="false" customHeight="true" outlineLevel="0" collapsed="false">
      <c r="A22" s="10" t="s">
        <v>93</v>
      </c>
      <c r="B22" s="15" t="n">
        <v>0.01</v>
      </c>
      <c r="C22" s="12" t="s">
        <v>94</v>
      </c>
      <c r="D22" s="10"/>
      <c r="E22" s="10"/>
      <c r="F22" s="10"/>
    </row>
    <row r="23" customFormat="false" ht="15.75" hidden="false" customHeight="true" outlineLevel="0" collapsed="false">
      <c r="A23" s="10" t="s">
        <v>95</v>
      </c>
      <c r="B23" s="15" t="n">
        <v>0.12</v>
      </c>
      <c r="C23" s="12" t="s">
        <v>96</v>
      </c>
      <c r="D23" s="10"/>
      <c r="E23" s="10"/>
      <c r="F23" s="10"/>
    </row>
    <row r="24" customFormat="false" ht="15.75" hidden="false" customHeight="true" outlineLevel="0" collapsed="false">
      <c r="A24" s="10" t="s">
        <v>97</v>
      </c>
      <c r="B24" s="15" t="n">
        <v>0.117</v>
      </c>
      <c r="C24" s="12" t="s">
        <v>98</v>
      </c>
      <c r="D24" s="10"/>
      <c r="E24" s="10"/>
      <c r="F24" s="10"/>
    </row>
    <row r="25" customFormat="false" ht="15.75" hidden="false" customHeight="true" outlineLevel="0" collapsed="false">
      <c r="A25" s="10" t="s">
        <v>99</v>
      </c>
      <c r="B25" s="15" t="n">
        <v>1.58</v>
      </c>
      <c r="C25" s="12" t="s">
        <v>100</v>
      </c>
      <c r="D25" s="10"/>
      <c r="E25" s="10"/>
      <c r="F25" s="10"/>
    </row>
    <row r="26" customFormat="false" ht="15.75" hidden="false" customHeight="true" outlineLevel="0" collapsed="false">
      <c r="A26" s="10" t="s">
        <v>101</v>
      </c>
      <c r="B26" s="15" t="n">
        <v>0.14</v>
      </c>
      <c r="C26" s="12" t="s">
        <v>102</v>
      </c>
      <c r="D26" s="10"/>
      <c r="E26" s="10"/>
      <c r="F26" s="10"/>
    </row>
    <row r="27" customFormat="false" ht="15.75" hidden="false" customHeight="true" outlineLevel="0" collapsed="false">
      <c r="A27" s="10" t="s">
        <v>103</v>
      </c>
      <c r="B27" s="15" t="n">
        <v>0.04</v>
      </c>
      <c r="C27" s="12" t="s">
        <v>104</v>
      </c>
      <c r="D27" s="10"/>
      <c r="E27" s="10"/>
      <c r="F27" s="10"/>
    </row>
    <row r="28" customFormat="false" ht="15.75" hidden="false" customHeight="true" outlineLevel="0" collapsed="false">
      <c r="A28" s="10" t="s">
        <v>105</v>
      </c>
      <c r="B28" s="15" t="n">
        <v>0.14</v>
      </c>
      <c r="C28" s="12" t="s">
        <v>106</v>
      </c>
      <c r="D28" s="10"/>
      <c r="E28" s="10"/>
      <c r="F28" s="10"/>
    </row>
    <row r="29" customFormat="false" ht="15.75" hidden="false" customHeight="true" outlineLevel="0" collapsed="false">
      <c r="A29" s="10" t="s">
        <v>107</v>
      </c>
      <c r="B29" s="15" t="n">
        <v>0.11</v>
      </c>
      <c r="C29" s="12" t="s">
        <v>108</v>
      </c>
      <c r="D29" s="10"/>
      <c r="E29" s="10"/>
      <c r="F29" s="10"/>
    </row>
    <row r="30" customFormat="false" ht="15.75" hidden="false" customHeight="true" outlineLevel="0" collapsed="false">
      <c r="A30" s="10" t="s">
        <v>109</v>
      </c>
      <c r="B30" s="15" t="n">
        <v>0.17</v>
      </c>
      <c r="C30" s="12" t="s">
        <v>110</v>
      </c>
      <c r="D30" s="10"/>
      <c r="E30" s="10"/>
      <c r="F30" s="10"/>
    </row>
    <row r="31" customFormat="false" ht="15.75" hidden="false" customHeight="true" outlineLevel="0" collapsed="false">
      <c r="A31" s="10" t="s">
        <v>111</v>
      </c>
      <c r="B31" s="15" t="n">
        <v>0.03</v>
      </c>
      <c r="C31" s="12" t="s">
        <v>112</v>
      </c>
      <c r="D31" s="10"/>
      <c r="E31" s="10"/>
      <c r="F31" s="10"/>
    </row>
    <row r="32" customFormat="false" ht="15.75" hidden="false" customHeight="true" outlineLevel="0" collapsed="false">
      <c r="A32" s="10" t="s">
        <v>113</v>
      </c>
      <c r="B32" s="15" t="n">
        <v>0.015</v>
      </c>
      <c r="C32" s="12" t="s">
        <v>114</v>
      </c>
      <c r="D32" s="10"/>
      <c r="E32" s="10"/>
      <c r="F32" s="10"/>
    </row>
    <row r="33" customFormat="false" ht="15.75" hidden="false" customHeight="true" outlineLevel="0" collapsed="false">
      <c r="A33" s="10" t="s">
        <v>115</v>
      </c>
      <c r="B33" s="15" t="n">
        <v>0.85</v>
      </c>
      <c r="C33" s="12" t="s">
        <v>116</v>
      </c>
      <c r="D33" s="10"/>
      <c r="E33" s="10"/>
      <c r="F33" s="10"/>
    </row>
    <row r="34" customFormat="false" ht="15.75" hidden="false" customHeight="true" outlineLevel="0" collapsed="false">
      <c r="A34" s="10" t="s">
        <v>117</v>
      </c>
      <c r="B34" s="15" t="n">
        <v>0.021</v>
      </c>
      <c r="C34" s="12" t="s">
        <v>118</v>
      </c>
      <c r="D34" s="10"/>
      <c r="E34" s="10"/>
      <c r="F34" s="10"/>
    </row>
    <row r="35" customFormat="false" ht="15.75" hidden="false" customHeight="true" outlineLevel="0" collapsed="false">
      <c r="A35" s="10" t="s">
        <v>119</v>
      </c>
      <c r="B35" s="15" t="n">
        <v>0.4</v>
      </c>
      <c r="C35" s="12" t="s">
        <v>120</v>
      </c>
      <c r="D35" s="10"/>
      <c r="E35" s="10"/>
      <c r="F35" s="10"/>
    </row>
    <row r="36" customFormat="false" ht="15.75" hidden="false" customHeight="true" outlineLevel="0" collapsed="false">
      <c r="A36" s="10" t="s">
        <v>121</v>
      </c>
      <c r="B36" s="15" t="n">
        <v>0.708</v>
      </c>
      <c r="C36" s="12" t="s">
        <v>122</v>
      </c>
      <c r="D36" s="10"/>
      <c r="E36" s="10"/>
      <c r="F36" s="10"/>
    </row>
    <row r="37" customFormat="false" ht="15.75" hidden="false" customHeight="true" outlineLevel="0" collapsed="false">
      <c r="A37" s="10" t="s">
        <v>123</v>
      </c>
      <c r="B37" s="14" t="n">
        <v>0.31</v>
      </c>
      <c r="C37" s="12" t="s">
        <v>124</v>
      </c>
      <c r="D37" s="10"/>
      <c r="E37" s="10"/>
      <c r="F37" s="10"/>
    </row>
    <row r="38" customFormat="false" ht="15.75" hidden="false" customHeight="true" outlineLevel="0" collapsed="false">
      <c r="A38" s="10" t="s">
        <v>125</v>
      </c>
      <c r="B38" s="15" t="n">
        <v>0.92</v>
      </c>
      <c r="C38" s="12" t="s">
        <v>126</v>
      </c>
      <c r="D38" s="10"/>
      <c r="E38" s="10"/>
      <c r="F38" s="10"/>
    </row>
    <row r="39" customFormat="false" ht="15.75" hidden="false" customHeight="true" outlineLevel="0" collapsed="false">
      <c r="A39" s="10" t="s">
        <v>127</v>
      </c>
      <c r="B39" s="15" t="n">
        <v>0.6</v>
      </c>
      <c r="C39" s="12" t="s">
        <v>126</v>
      </c>
      <c r="D39" s="10"/>
      <c r="E39" s="10"/>
      <c r="F39" s="10"/>
    </row>
    <row r="40" customFormat="false" ht="15.75" hidden="false" customHeight="true" outlineLevel="0" collapsed="false">
      <c r="A40" s="10" t="s">
        <v>128</v>
      </c>
      <c r="B40" s="15" t="n">
        <v>2.5</v>
      </c>
      <c r="C40" s="12" t="s">
        <v>126</v>
      </c>
      <c r="D40" s="10"/>
      <c r="E40" s="10"/>
      <c r="F40" s="10"/>
    </row>
    <row r="41" customFormat="false" ht="15.75" hidden="false" customHeight="true" outlineLevel="0" collapsed="false">
      <c r="A41" s="10" t="s">
        <v>129</v>
      </c>
      <c r="B41" s="15" t="n">
        <v>2.33</v>
      </c>
      <c r="C41" s="12" t="s">
        <v>130</v>
      </c>
      <c r="D41" s="10"/>
      <c r="E41" s="10"/>
      <c r="F41" s="10"/>
    </row>
    <row r="42" customFormat="false" ht="15.75" hidden="false" customHeight="true" outlineLevel="0" collapsed="false">
      <c r="A42" s="10" t="s">
        <v>131</v>
      </c>
      <c r="B42" s="15" t="n">
        <v>0.9</v>
      </c>
      <c r="C42" s="12" t="s">
        <v>126</v>
      </c>
      <c r="D42" s="10"/>
      <c r="E42" s="10"/>
      <c r="F42" s="10"/>
    </row>
    <row r="43" customFormat="false" ht="15.75" hidden="false" customHeight="true" outlineLevel="0" collapsed="false">
      <c r="A43" s="10" t="s">
        <v>132</v>
      </c>
      <c r="B43" s="15" t="n">
        <v>0.005</v>
      </c>
      <c r="C43" s="12" t="s">
        <v>133</v>
      </c>
      <c r="D43" s="10"/>
      <c r="E43" s="10"/>
      <c r="F43" s="10"/>
    </row>
    <row r="44" customFormat="false" ht="15.75" hidden="false" customHeight="true" outlineLevel="0" collapsed="false">
      <c r="A44" s="10" t="s">
        <v>134</v>
      </c>
      <c r="B44" s="15" t="n">
        <v>0.012</v>
      </c>
      <c r="C44" s="12" t="s">
        <v>135</v>
      </c>
      <c r="D44" s="10"/>
      <c r="E44" s="10"/>
      <c r="F44" s="10"/>
    </row>
    <row r="45" customFormat="false" ht="15.75" hidden="false" customHeight="true" outlineLevel="0" collapsed="false">
      <c r="A45" s="10" t="s">
        <v>136</v>
      </c>
      <c r="B45" s="15" t="n">
        <v>0.003</v>
      </c>
      <c r="C45" s="12" t="s">
        <v>137</v>
      </c>
      <c r="D45" s="10"/>
      <c r="E45" s="10"/>
      <c r="F45" s="10"/>
    </row>
    <row r="46" customFormat="false" ht="15.75" hidden="false" customHeight="true" outlineLevel="0" collapsed="false">
      <c r="A46" s="10" t="s">
        <v>138</v>
      </c>
      <c r="B46" s="15" t="n">
        <v>250</v>
      </c>
      <c r="C46" s="12" t="s">
        <v>139</v>
      </c>
      <c r="D46" s="10"/>
      <c r="E46" s="10"/>
      <c r="F46" s="10"/>
    </row>
    <row r="47" customFormat="false" ht="15.75" hidden="false" customHeight="true" outlineLevel="0" collapsed="false">
      <c r="A47" s="10" t="s">
        <v>140</v>
      </c>
      <c r="B47" s="15" t="n">
        <v>350</v>
      </c>
      <c r="C47" s="12" t="s">
        <v>139</v>
      </c>
      <c r="D47" s="10"/>
      <c r="E47" s="10"/>
      <c r="F47" s="10"/>
    </row>
    <row r="48" customFormat="false" ht="15.75" hidden="false" customHeight="true" outlineLevel="0" collapsed="false">
      <c r="A48" s="10" t="s">
        <v>141</v>
      </c>
      <c r="B48" s="15" t="n">
        <v>65</v>
      </c>
      <c r="C48" s="12" t="s">
        <v>139</v>
      </c>
      <c r="D48" s="10"/>
      <c r="E48" s="10"/>
      <c r="F48" s="10"/>
    </row>
    <row r="49" customFormat="false" ht="15.75" hidden="false" customHeight="true" outlineLevel="0" collapsed="false">
      <c r="A49" s="10" t="s">
        <v>142</v>
      </c>
      <c r="B49" s="15" t="n">
        <v>3.5</v>
      </c>
      <c r="C49" s="12" t="s">
        <v>143</v>
      </c>
      <c r="D49" s="10"/>
      <c r="E49" s="10"/>
      <c r="F49" s="10"/>
    </row>
    <row r="50" customFormat="false" ht="15.75" hidden="false" customHeight="true" outlineLevel="0" collapsed="false">
      <c r="A50" s="10" t="s">
        <v>144</v>
      </c>
      <c r="B50" s="14" t="n">
        <v>0.1459</v>
      </c>
      <c r="C50" s="7" t="s">
        <v>145</v>
      </c>
      <c r="D50" s="10"/>
      <c r="E50" s="10"/>
      <c r="F50" s="10"/>
    </row>
    <row r="51" customFormat="false" ht="15.75" hidden="false" customHeight="true" outlineLevel="0" collapsed="false">
      <c r="A51" s="10" t="s">
        <v>146</v>
      </c>
      <c r="B51" s="14" t="n">
        <v>0.5835</v>
      </c>
      <c r="C51" s="7" t="s">
        <v>147</v>
      </c>
      <c r="D51" s="10"/>
      <c r="E51" s="10"/>
      <c r="F51" s="10"/>
    </row>
    <row r="52" customFormat="false" ht="15.75" hidden="false" customHeight="true" outlineLevel="0" collapsed="false">
      <c r="A52" s="10" t="s">
        <v>148</v>
      </c>
      <c r="B52" s="14" t="n">
        <v>0.4628</v>
      </c>
      <c r="C52" s="7" t="s">
        <v>149</v>
      </c>
      <c r="D52" s="10"/>
      <c r="E52" s="10"/>
      <c r="F52" s="10"/>
    </row>
    <row r="53" customFormat="false" ht="15.75" hidden="false" customHeight="true" outlineLevel="0" collapsed="false">
      <c r="A53" s="10" t="s">
        <v>150</v>
      </c>
      <c r="B53" s="15" t="n">
        <v>75.5</v>
      </c>
      <c r="C53" s="12" t="s">
        <v>151</v>
      </c>
      <c r="D53" s="10"/>
      <c r="E53" s="10"/>
      <c r="F53" s="10"/>
    </row>
    <row r="54" customFormat="false" ht="15.75" hidden="false" customHeight="true" outlineLevel="0" collapsed="false">
      <c r="A54" s="10" t="s">
        <v>152</v>
      </c>
      <c r="B54" s="15" t="n">
        <v>25</v>
      </c>
      <c r="C54" s="12" t="s">
        <v>151</v>
      </c>
      <c r="D54" s="10"/>
      <c r="E54" s="10"/>
      <c r="F54" s="10"/>
    </row>
    <row r="55" customFormat="false" ht="15.75" hidden="false" customHeight="true" outlineLevel="0" collapsed="false">
      <c r="A55" s="10" t="s">
        <v>153</v>
      </c>
      <c r="B55" s="16" t="n">
        <v>0</v>
      </c>
      <c r="C55" s="7" t="s">
        <v>154</v>
      </c>
      <c r="D55" s="10"/>
      <c r="E55" s="10"/>
      <c r="F55" s="10"/>
    </row>
    <row r="56" customFormat="false" ht="15.75" hidden="false" customHeight="true" outlineLevel="0" collapsed="false">
      <c r="A56" s="10" t="s">
        <v>155</v>
      </c>
      <c r="B56" s="16" t="n">
        <v>0</v>
      </c>
      <c r="C56" s="7" t="s">
        <v>156</v>
      </c>
      <c r="D56" s="10"/>
      <c r="E56" s="10"/>
      <c r="F56" s="10"/>
    </row>
    <row r="57" customFormat="false" ht="15.75" hidden="false" customHeight="true" outlineLevel="0" collapsed="false">
      <c r="A57" s="10" t="s">
        <v>157</v>
      </c>
      <c r="B57" s="16" t="n">
        <v>0</v>
      </c>
      <c r="C57" s="7" t="s">
        <v>158</v>
      </c>
      <c r="D57" s="10"/>
      <c r="E57" s="10"/>
      <c r="F57" s="10"/>
    </row>
    <row r="58" customFormat="false" ht="15.75" hidden="false" customHeight="true" outlineLevel="0" collapsed="false">
      <c r="A58" s="10" t="s">
        <v>159</v>
      </c>
      <c r="B58" s="16" t="n">
        <v>0</v>
      </c>
      <c r="C58" s="7" t="s">
        <v>160</v>
      </c>
      <c r="D58" s="10"/>
      <c r="E58" s="10"/>
      <c r="F58" s="10"/>
    </row>
    <row r="59" customFormat="false" ht="15.75" hidden="false" customHeight="true" outlineLevel="0" collapsed="false">
      <c r="A59" s="10" t="s">
        <v>161</v>
      </c>
      <c r="B59" s="16" t="n">
        <v>0</v>
      </c>
      <c r="C59" s="7" t="s">
        <v>162</v>
      </c>
      <c r="D59" s="10"/>
      <c r="E59" s="10"/>
      <c r="F59" s="10"/>
    </row>
    <row r="60" customFormat="false" ht="15.75" hidden="false" customHeight="true" outlineLevel="0" collapsed="false">
      <c r="A60" s="10" t="s">
        <v>163</v>
      </c>
      <c r="B60" s="15" t="n">
        <v>1</v>
      </c>
      <c r="C60" s="12" t="s">
        <v>164</v>
      </c>
      <c r="D60" s="10"/>
      <c r="E60" s="10"/>
      <c r="F60" s="10"/>
    </row>
    <row r="61" customFormat="false" ht="15.75" hidden="false" customHeight="true" outlineLevel="0" collapsed="false">
      <c r="A61" s="10" t="s">
        <v>165</v>
      </c>
      <c r="B61" s="16" t="n">
        <v>0</v>
      </c>
      <c r="C61" s="7" t="s">
        <v>166</v>
      </c>
      <c r="D61" s="10"/>
      <c r="E61" s="10"/>
      <c r="F61" s="10"/>
    </row>
    <row r="62" customFormat="false" ht="15.75" hidden="false" customHeight="true" outlineLevel="0" collapsed="false">
      <c r="A62" s="10"/>
      <c r="B62" s="10"/>
      <c r="C62" s="10"/>
      <c r="D62" s="10"/>
      <c r="E62" s="10"/>
      <c r="F62" s="10"/>
    </row>
    <row r="63" customFormat="false" ht="15.75" hidden="false" customHeight="true" outlineLevel="0" collapsed="false">
      <c r="A63" s="10"/>
      <c r="B63" s="10"/>
      <c r="C63" s="10"/>
      <c r="D63" s="10"/>
      <c r="E63" s="10"/>
      <c r="F63" s="10"/>
    </row>
    <row r="64" customFormat="false" ht="15.75" hidden="false" customHeight="true" outlineLevel="0" collapsed="false">
      <c r="A64" s="10"/>
      <c r="B64" s="10"/>
      <c r="C64" s="10"/>
      <c r="D64" s="10"/>
      <c r="E64" s="10"/>
      <c r="F64" s="10"/>
    </row>
    <row r="65" customFormat="false" ht="15.75" hidden="false" customHeight="true" outlineLevel="0" collapsed="false">
      <c r="A65" s="10"/>
      <c r="B65" s="10"/>
      <c r="C65" s="10"/>
      <c r="D65" s="10"/>
      <c r="E65" s="10"/>
      <c r="F65" s="10"/>
    </row>
    <row r="66" customFormat="false" ht="15.75" hidden="false" customHeight="true" outlineLevel="0" collapsed="false">
      <c r="A66" s="10"/>
      <c r="B66" s="10"/>
      <c r="C66" s="10"/>
      <c r="D66" s="10"/>
      <c r="E66" s="10"/>
      <c r="F66" s="10"/>
    </row>
    <row r="67" customFormat="false" ht="15.75" hidden="false" customHeight="true" outlineLevel="0" collapsed="false">
      <c r="A67" s="10"/>
      <c r="B67" s="10"/>
      <c r="C67" s="10"/>
      <c r="D67" s="10"/>
      <c r="E67" s="10"/>
      <c r="F67" s="10"/>
    </row>
    <row r="68" customFormat="false" ht="15.75" hidden="false" customHeight="true" outlineLevel="0" collapsed="false">
      <c r="A68" s="10"/>
      <c r="B68" s="10"/>
      <c r="C68" s="10"/>
      <c r="D68" s="10"/>
      <c r="E68" s="10"/>
      <c r="F68" s="10"/>
    </row>
    <row r="69" customFormat="false" ht="15.75" hidden="false" customHeight="true" outlineLevel="0" collapsed="false">
      <c r="A69" s="10"/>
      <c r="B69" s="10"/>
      <c r="C69" s="10"/>
      <c r="D69" s="10"/>
      <c r="E69" s="10"/>
      <c r="F69" s="10"/>
    </row>
    <row r="70" customFormat="false" ht="15.75" hidden="false" customHeight="true" outlineLevel="0" collapsed="false">
      <c r="A70" s="10"/>
      <c r="B70" s="10"/>
      <c r="C70" s="10"/>
      <c r="D70" s="10"/>
      <c r="E70" s="10"/>
      <c r="F70" s="10"/>
    </row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4"/>
    <col collapsed="false" customWidth="true" hidden="false" outlineLevel="0" max="3" min="3" style="1" width="12"/>
    <col collapsed="false" customWidth="true" hidden="false" outlineLevel="0" max="4" min="4" style="1" width="14"/>
    <col collapsed="false" customWidth="true" hidden="false" outlineLevel="0" max="5" min="5" style="1" width="22"/>
    <col collapsed="false" customWidth="true" hidden="false" outlineLevel="0" max="6" min="6" style="1" width="14"/>
    <col collapsed="false" customWidth="true" hidden="false" outlineLevel="0" max="7" min="7" style="1" width="34"/>
    <col collapsed="false" customWidth="true" hidden="false" outlineLevel="0" max="8" min="8" style="1" width="42"/>
  </cols>
  <sheetData>
    <row r="1" customFormat="false" ht="15" hidden="false" customHeight="true" outlineLevel="0" collapsed="false">
      <c r="A1" s="17" t="s">
        <v>167</v>
      </c>
      <c r="B1" s="18"/>
      <c r="C1" s="18"/>
      <c r="D1" s="18"/>
      <c r="E1" s="18"/>
      <c r="F1" s="18"/>
      <c r="G1" s="18"/>
      <c r="H1" s="18"/>
    </row>
    <row r="2" customFormat="false" ht="15" hidden="false" customHeight="true" outlineLevel="0" collapsed="false">
      <c r="A2" s="13" t="s">
        <v>168</v>
      </c>
      <c r="B2" s="13" t="s">
        <v>169</v>
      </c>
      <c r="C2" s="13" t="s">
        <v>170</v>
      </c>
      <c r="D2" s="13" t="s">
        <v>54</v>
      </c>
      <c r="E2" s="13" t="s">
        <v>171</v>
      </c>
      <c r="F2" s="13" t="s">
        <v>172</v>
      </c>
      <c r="G2" s="13" t="s">
        <v>173</v>
      </c>
      <c r="H2" s="13" t="s">
        <v>174</v>
      </c>
    </row>
    <row r="3" customFormat="false" ht="15" hidden="false" customHeight="true" outlineLevel="0" collapsed="false">
      <c r="A3" s="19" t="s">
        <v>175</v>
      </c>
    </row>
    <row r="4" customFormat="false" ht="15" hidden="false" customHeight="true" outlineLevel="0" collapsed="false">
      <c r="A4" s="10" t="s">
        <v>176</v>
      </c>
      <c r="B4" s="20" t="n">
        <v>0</v>
      </c>
      <c r="C4" s="10" t="s">
        <v>177</v>
      </c>
      <c r="D4" s="21" t="n">
        <f aca="false">VLOOKUP("Diesel_Fuel", DB_Master!$A:$B, 2, 0)</f>
        <v>2.6558</v>
      </c>
      <c r="E4" s="9" t="s">
        <v>178</v>
      </c>
      <c r="F4" s="22" t="n">
        <f aca="false">(B4*D4)/1000</f>
        <v>0</v>
      </c>
      <c r="G4" s="7" t="str">
        <f aca="false">("(" &amp; B4 &amp; " " &amp; C4 &amp; " x " &amp; D4 &amp; ") / 1000")</f>
        <v>(0 Liters x 2.6558) / 1000</v>
      </c>
    </row>
    <row r="5" customFormat="false" ht="15" hidden="false" customHeight="true" outlineLevel="0" collapsed="false">
      <c r="A5" s="10" t="s">
        <v>179</v>
      </c>
      <c r="B5" s="20" t="n">
        <v>0</v>
      </c>
      <c r="C5" s="10" t="s">
        <v>177</v>
      </c>
      <c r="D5" s="21" t="n">
        <f aca="false">VLOOKUP("Furnace_Oil", DB_Master!$A:$B, 2, 0)</f>
        <v>3.1186</v>
      </c>
      <c r="E5" s="9" t="s">
        <v>178</v>
      </c>
      <c r="F5" s="22" t="n">
        <f aca="false">(B5*D5)/1000</f>
        <v>0</v>
      </c>
      <c r="G5" s="7" t="str">
        <f aca="false">("(" &amp; B5 &amp; " " &amp; C5 &amp; " x " &amp; D5 &amp; ") / 1000")</f>
        <v>(0 Liters x 3.1186) / 1000</v>
      </c>
    </row>
    <row r="6" customFormat="false" ht="15" hidden="false" customHeight="true" outlineLevel="0" collapsed="false">
      <c r="A6" s="10" t="s">
        <v>180</v>
      </c>
      <c r="B6" s="20" t="n">
        <v>0</v>
      </c>
      <c r="C6" s="10" t="s">
        <v>181</v>
      </c>
      <c r="D6" s="21" t="n">
        <f aca="false">VLOOKUP("Natural_Gas", DB_Master!$A:$B, 2, 0)</f>
        <v>1.8913</v>
      </c>
      <c r="E6" s="9" t="s">
        <v>178</v>
      </c>
      <c r="F6" s="22" t="n">
        <f aca="false">(B6*D6)/1000</f>
        <v>0</v>
      </c>
      <c r="G6" s="7" t="str">
        <f aca="false">("(" &amp; B6 &amp; " " &amp; C6 &amp; " x " &amp; D6 &amp; ") / 1000")</f>
        <v>(0 scm x 1.8913) / 1000</v>
      </c>
    </row>
    <row r="7" customFormat="false" ht="15" hidden="false" customHeight="true" outlineLevel="0" collapsed="false">
      <c r="A7" s="10" t="s">
        <v>182</v>
      </c>
      <c r="B7" s="20" t="n">
        <v>0</v>
      </c>
      <c r="C7" s="10" t="s">
        <v>183</v>
      </c>
      <c r="D7" s="21" t="n">
        <f aca="false">VLOOKUP("Coal_Indian", DB_Master!$A:$B, 2, 0)</f>
        <v>1.9919</v>
      </c>
      <c r="E7" s="9" t="s">
        <v>178</v>
      </c>
      <c r="F7" s="22" t="n">
        <f aca="false">(B7*D7)/1000</f>
        <v>0</v>
      </c>
      <c r="G7" s="7" t="str">
        <f aca="false">("(" &amp; B7 &amp; " " &amp; C7 &amp; " x " &amp; D7 &amp; ") / 1000")</f>
        <v>(0 kg x 1.9919) / 1000</v>
      </c>
    </row>
    <row r="8" customFormat="false" ht="15" hidden="false" customHeight="true" outlineLevel="0" collapsed="false">
      <c r="A8" s="10" t="s">
        <v>184</v>
      </c>
      <c r="B8" s="20" t="n">
        <v>0</v>
      </c>
      <c r="C8" s="10" t="s">
        <v>183</v>
      </c>
      <c r="D8" s="21" t="n">
        <f aca="false">VLOOKUP("LPG_Commercial", DB_Master!$A:$B, 2, 0)</f>
        <v>2.9979</v>
      </c>
      <c r="E8" s="9" t="s">
        <v>178</v>
      </c>
      <c r="F8" s="22" t="n">
        <f aca="false">(B8*D8)/1000</f>
        <v>0</v>
      </c>
      <c r="G8" s="7" t="str">
        <f aca="false">("(" &amp; B8 &amp; " " &amp; C8 &amp; " x " &amp; D8 &amp; ") / 1000")</f>
        <v>(0 kg x 2.9979) / 1000</v>
      </c>
    </row>
    <row r="9" customFormat="false" ht="15" hidden="false" customHeight="true" outlineLevel="0" collapsed="false">
      <c r="A9" s="19" t="s">
        <v>185</v>
      </c>
    </row>
    <row r="10" customFormat="false" ht="15" hidden="false" customHeight="true" outlineLevel="0" collapsed="false">
      <c r="A10" s="10" t="s">
        <v>186</v>
      </c>
      <c r="B10" s="20" t="n">
        <v>0</v>
      </c>
      <c r="C10" s="10" t="s">
        <v>177</v>
      </c>
      <c r="D10" s="21" t="n">
        <f aca="false">VLOOKUP("Petrol_Fuel", DB_Master!$A:$B, 2, 0)</f>
        <v>2.2836</v>
      </c>
      <c r="E10" s="9" t="s">
        <v>178</v>
      </c>
      <c r="F10" s="22" t="n">
        <f aca="false">(B10*D10)/1000</f>
        <v>0</v>
      </c>
      <c r="G10" s="7" t="str">
        <f aca="false">("(" &amp; B10 &amp; " " &amp; C10 &amp; " x " &amp; D10 &amp; ") / 1000")</f>
        <v>(0 Liters x 2.2836) / 1000</v>
      </c>
    </row>
    <row r="11" customFormat="false" ht="15" hidden="false" customHeight="true" outlineLevel="0" collapsed="false">
      <c r="A11" s="10" t="s">
        <v>187</v>
      </c>
      <c r="B11" s="20" t="n">
        <v>0</v>
      </c>
      <c r="C11" s="10" t="s">
        <v>177</v>
      </c>
      <c r="D11" s="21" t="n">
        <f aca="false">VLOOKUP("Diesel_Fuel", DB_Master!$A:$B, 2, 0)</f>
        <v>2.6558</v>
      </c>
      <c r="E11" s="9" t="s">
        <v>178</v>
      </c>
      <c r="F11" s="22" t="n">
        <f aca="false">(B11*D11)/1000</f>
        <v>0</v>
      </c>
      <c r="G11" s="7" t="str">
        <f aca="false">("(" &amp; B11 &amp; " " &amp; C11 &amp; " x " &amp; D11 &amp; ") / 1000")</f>
        <v>(0 Liters x 2.6558) / 1000</v>
      </c>
    </row>
    <row r="12" customFormat="false" ht="15" hidden="false" customHeight="true" outlineLevel="0" collapsed="false">
      <c r="A12" s="10" t="s">
        <v>188</v>
      </c>
      <c r="B12" s="20" t="n">
        <v>0</v>
      </c>
      <c r="C12" s="10" t="s">
        <v>183</v>
      </c>
      <c r="D12" s="21" t="n">
        <f aca="false">VLOOKUP("CNG_Fuel", DB_Master!$A:$B, 2, 0)</f>
        <v>2.686</v>
      </c>
      <c r="E12" s="9" t="s">
        <v>178</v>
      </c>
      <c r="F12" s="22" t="n">
        <f aca="false">(B12*D12)/1000</f>
        <v>0</v>
      </c>
      <c r="G12" s="7" t="str">
        <f aca="false">("(" &amp; B12 &amp; " " &amp; C12 &amp; " x " &amp; D12 &amp; ") / 1000")</f>
        <v>(0 kg x 2.686) / 1000</v>
      </c>
    </row>
    <row r="13" customFormat="false" ht="15" hidden="false" customHeight="true" outlineLevel="0" collapsed="false">
      <c r="A13" s="19" t="s">
        <v>189</v>
      </c>
    </row>
    <row r="14" customFormat="false" ht="15" hidden="false" customHeight="true" outlineLevel="0" collapsed="false">
      <c r="A14" s="10" t="s">
        <v>190</v>
      </c>
      <c r="B14" s="20" t="n">
        <v>0</v>
      </c>
      <c r="C14" s="10" t="s">
        <v>183</v>
      </c>
      <c r="D14" s="21" t="n">
        <f aca="false">VLOOKUP("Refrig_R32", DB_Master!$A:$B, 2, 0)</f>
        <v>675</v>
      </c>
      <c r="E14" s="9" t="s">
        <v>178</v>
      </c>
      <c r="F14" s="22" t="n">
        <f aca="false">(B14*D14)/1000</f>
        <v>0</v>
      </c>
      <c r="G14" s="7" t="str">
        <f aca="false">("(" &amp; B14 &amp; " " &amp; C14 &amp; " x " &amp; D14 &amp; ") / 1000")</f>
        <v>(0 kg x 675) / 1000</v>
      </c>
    </row>
    <row r="15" customFormat="false" ht="15" hidden="false" customHeight="true" outlineLevel="0" collapsed="false">
      <c r="A15" s="10" t="s">
        <v>191</v>
      </c>
      <c r="B15" s="20" t="n">
        <v>0</v>
      </c>
      <c r="C15" s="10" t="s">
        <v>183</v>
      </c>
      <c r="D15" s="21" t="n">
        <f aca="false">VLOOKUP("Refrig_R410A", DB_Master!$A:$B, 2, 0)</f>
        <v>2088</v>
      </c>
      <c r="E15" s="9" t="s">
        <v>178</v>
      </c>
      <c r="F15" s="22" t="n">
        <f aca="false">(B15*D15)/1000</f>
        <v>0</v>
      </c>
      <c r="G15" s="7" t="str">
        <f aca="false">("(" &amp; B15 &amp; " " &amp; C15 &amp; " x " &amp; D15 &amp; ") / 1000")</f>
        <v>(0 kg x 2088) / 1000</v>
      </c>
    </row>
    <row r="16" customFormat="false" ht="15" hidden="false" customHeight="true" outlineLevel="0" collapsed="false">
      <c r="A16" s="10" t="s">
        <v>192</v>
      </c>
      <c r="B16" s="20" t="n">
        <v>0</v>
      </c>
      <c r="C16" s="10" t="s">
        <v>183</v>
      </c>
      <c r="D16" s="21" t="n">
        <f aca="false">VLOOKUP("Refrig_R22", DB_Master!$A:$B, 2, 0)</f>
        <v>1810</v>
      </c>
      <c r="E16" s="9" t="s">
        <v>178</v>
      </c>
      <c r="F16" s="22" t="n">
        <f aca="false">(B16*D16)/1000</f>
        <v>0</v>
      </c>
      <c r="G16" s="7" t="str">
        <f aca="false">("(" &amp; B16 &amp; " " &amp; C16 &amp; " x " &amp; D16 &amp; ") / 1000")</f>
        <v>(0 kg x 1810) / 1000</v>
      </c>
    </row>
    <row r="17" customFormat="false" ht="15" hidden="false" customHeight="true" outlineLevel="0" collapsed="false">
      <c r="A17" s="19" t="s">
        <v>193</v>
      </c>
    </row>
    <row r="18" customFormat="false" ht="15" hidden="false" customHeight="true" outlineLevel="0" collapsed="false">
      <c r="A18" s="10" t="s">
        <v>194</v>
      </c>
      <c r="B18" s="20" t="n">
        <v>0</v>
      </c>
      <c r="C18" s="10" t="s">
        <v>183</v>
      </c>
      <c r="D18" s="21" t="n">
        <f aca="false">VLOOKUP("Acetylene_Welding", DB_Master!$A:$B, 2, 0)</f>
        <v>3.4003</v>
      </c>
      <c r="E18" s="9" t="s">
        <v>178</v>
      </c>
      <c r="F18" s="22" t="n">
        <f aca="false">(B18*D18)/1000</f>
        <v>0</v>
      </c>
      <c r="G18" s="7" t="str">
        <f aca="false">("(" &amp; B18 &amp; " " &amp; C18 &amp; " x " &amp; D18 &amp; ") / 1000")</f>
        <v>(0 kg x 3.4003) / 1000</v>
      </c>
    </row>
    <row r="19" customFormat="false" ht="15" hidden="false" customHeight="true" outlineLevel="0" collapsed="false">
      <c r="A19" s="10" t="s">
        <v>195</v>
      </c>
      <c r="B19" s="20" t="n">
        <v>0</v>
      </c>
      <c r="C19" s="10" t="s">
        <v>183</v>
      </c>
      <c r="D19" s="21" t="n">
        <f aca="false">VLOOKUP("Fire_Extinguisher_CO2", DB_Master!$A:$B, 2, 0)</f>
        <v>1</v>
      </c>
      <c r="E19" s="9" t="s">
        <v>178</v>
      </c>
      <c r="F19" s="22" t="n">
        <f aca="false">(B19*D19)/1000</f>
        <v>0</v>
      </c>
      <c r="G19" s="7" t="str">
        <f aca="false">("(" &amp; B19 &amp; " " &amp; C19 &amp; " x " &amp; D19 &amp; ") / 1000")</f>
        <v>(0 kg x 1) / 1000</v>
      </c>
    </row>
    <row r="21" customFormat="false" ht="15" hidden="false" customHeight="true" outlineLevel="0" collapsed="false">
      <c r="A21" s="23" t="s">
        <v>196</v>
      </c>
      <c r="B21" s="24"/>
      <c r="C21" s="24"/>
      <c r="D21" s="24"/>
      <c r="E21" s="24"/>
      <c r="F21" s="25" t="n">
        <f aca="false">SUM(F4:F19)</f>
        <v>0</v>
      </c>
      <c r="G21" s="24"/>
      <c r="H21" s="24"/>
    </row>
    <row r="23" customFormat="false" ht="15" hidden="false" customHeight="true" outlineLevel="0" collapsed="false">
      <c r="A23" s="17" t="s">
        <v>197</v>
      </c>
      <c r="B23" s="18"/>
      <c r="C23" s="18"/>
      <c r="D23" s="18"/>
      <c r="E23" s="18"/>
      <c r="F23" s="18"/>
      <c r="G23" s="18"/>
      <c r="H23" s="18"/>
    </row>
    <row r="24" customFormat="false" ht="15" hidden="false" customHeight="true" outlineLevel="0" collapsed="false">
      <c r="A24" s="13" t="s">
        <v>168</v>
      </c>
      <c r="B24" s="13" t="s">
        <v>169</v>
      </c>
      <c r="C24" s="13" t="s">
        <v>170</v>
      </c>
      <c r="D24" s="13" t="s">
        <v>54</v>
      </c>
      <c r="E24" s="13" t="s">
        <v>171</v>
      </c>
      <c r="F24" s="13" t="s">
        <v>172</v>
      </c>
      <c r="G24" s="13" t="s">
        <v>173</v>
      </c>
      <c r="H24" s="13" t="s">
        <v>174</v>
      </c>
    </row>
    <row r="25" customFormat="false" ht="15" hidden="false" customHeight="true" outlineLevel="0" collapsed="false">
      <c r="A25" s="19" t="s">
        <v>198</v>
      </c>
    </row>
    <row r="26" customFormat="false" ht="15" hidden="false" customHeight="true" outlineLevel="0" collapsed="false">
      <c r="A26" s="10" t="s">
        <v>199</v>
      </c>
      <c r="B26" s="20" t="n">
        <v>0</v>
      </c>
      <c r="C26" s="10" t="s">
        <v>200</v>
      </c>
      <c r="D26" s="21" t="n">
        <f aca="false">VLOOKUP("Grid_India_CEA", DB_Master!$A:$B, 2, 0)</f>
        <v>0.7314</v>
      </c>
      <c r="E26" s="9" t="s">
        <v>178</v>
      </c>
      <c r="F26" s="22" t="n">
        <f aca="false">(B26*D26)/1000</f>
        <v>0</v>
      </c>
      <c r="G26" s="7" t="str">
        <f aca="false">("(" &amp; B26 &amp; " " &amp; C26 &amp; " x " &amp; D26 &amp; ") / 1000")</f>
        <v>(0 kWh x 0.7314) / 1000</v>
      </c>
    </row>
    <row r="27" customFormat="false" ht="15" hidden="false" customHeight="true" outlineLevel="0" collapsed="false">
      <c r="A27" s="10" t="s">
        <v>201</v>
      </c>
      <c r="B27" s="20" t="n">
        <v>0</v>
      </c>
      <c r="C27" s="10" t="s">
        <v>200</v>
      </c>
      <c r="D27" s="21" t="n">
        <f aca="false">VLOOKUP("Grid_India_CEA", DB_Master!$A:$B, 2, 0)</f>
        <v>0.7314</v>
      </c>
      <c r="E27" s="9" t="s">
        <v>178</v>
      </c>
      <c r="F27" s="22" t="n">
        <f aca="false">(B27*D27)/1000</f>
        <v>0</v>
      </c>
      <c r="G27" s="7" t="str">
        <f aca="false">("(" &amp; B27 &amp; " " &amp; C27 &amp; " x " &amp; D27 &amp; ") / 1000")</f>
        <v>(0 kWh x 0.7314) / 1000</v>
      </c>
    </row>
    <row r="28" customFormat="false" ht="15" hidden="false" customHeight="true" outlineLevel="0" collapsed="false">
      <c r="A28" s="10" t="s">
        <v>202</v>
      </c>
      <c r="B28" s="20" t="n">
        <v>0</v>
      </c>
      <c r="C28" s="10" t="s">
        <v>200</v>
      </c>
      <c r="D28" s="21" t="n">
        <f aca="false">VLOOKUP("Grid_India_CEA", DB_Master!$A:$B, 2, 0)</f>
        <v>0.7314</v>
      </c>
      <c r="E28" s="9" t="s">
        <v>178</v>
      </c>
      <c r="F28" s="22" t="n">
        <f aca="false">(B28*D28)/1000</f>
        <v>0</v>
      </c>
      <c r="G28" s="7" t="str">
        <f aca="false">("(" &amp; B28 &amp; " " &amp; C28 &amp; " x " &amp; D28 &amp; ") / 1000")</f>
        <v>(0 kWh x 0.7314) / 1000</v>
      </c>
    </row>
    <row r="29" customFormat="false" ht="15" hidden="false" customHeight="true" outlineLevel="0" collapsed="false">
      <c r="A29" s="10" t="s">
        <v>203</v>
      </c>
      <c r="B29" s="20" t="n">
        <v>0</v>
      </c>
      <c r="C29" s="10" t="s">
        <v>183</v>
      </c>
      <c r="D29" s="21" t="n">
        <f aca="false">VLOOKUP("Purchased_Steam", DB_Master!$A:$B, 2, 0)</f>
        <v>0.1811</v>
      </c>
      <c r="E29" s="9" t="s">
        <v>178</v>
      </c>
      <c r="F29" s="22" t="n">
        <f aca="false">(B29*D29)/1000</f>
        <v>0</v>
      </c>
      <c r="G29" s="7" t="str">
        <f aca="false">("(" &amp; B29 &amp; " " &amp; C29 &amp; " x " &amp; D29 &amp; ") / 1000")</f>
        <v>(0 kg x 0.1811) / 1000</v>
      </c>
    </row>
    <row r="31" customFormat="false" ht="15" hidden="false" customHeight="true" outlineLevel="0" collapsed="false">
      <c r="A31" s="23" t="s">
        <v>204</v>
      </c>
      <c r="B31" s="24"/>
      <c r="C31" s="24"/>
      <c r="D31" s="24"/>
      <c r="E31" s="24"/>
      <c r="F31" s="25" t="n">
        <f aca="false">SUM(F26:F29)</f>
        <v>0</v>
      </c>
      <c r="G31" s="24"/>
      <c r="H31" s="24"/>
    </row>
    <row r="33" customFormat="false" ht="15" hidden="false" customHeight="true" outlineLevel="0" collapsed="false">
      <c r="A33" s="19" t="s">
        <v>205</v>
      </c>
    </row>
    <row r="34" customFormat="false" ht="15" hidden="false" customHeight="true" outlineLevel="0" collapsed="false">
      <c r="A34" s="10" t="s">
        <v>206</v>
      </c>
      <c r="B34" s="20" t="n">
        <v>0</v>
      </c>
      <c r="C34" s="10" t="s">
        <v>200</v>
      </c>
      <c r="D34" s="21" t="n">
        <f aca="false">VLOOKUP("Grid_MarketBased_Default", DB_Master!$A:$B, 2, 0)</f>
        <v>0.7314</v>
      </c>
      <c r="E34" s="9" t="s">
        <v>178</v>
      </c>
      <c r="F34" s="22" t="n">
        <f aca="false">(B34*D34)/1000</f>
        <v>0</v>
      </c>
      <c r="G34" s="7" t="str">
        <f aca="false">("(" &amp; B34 &amp; " " &amp; C34 &amp; " x " &amp; D34 &amp; ") / 1000")</f>
        <v>(0 kWh x 0.7314) / 1000</v>
      </c>
    </row>
    <row r="35" customFormat="false" ht="15" hidden="false" customHeight="true" outlineLevel="0" collapsed="false">
      <c r="A35" s="10" t="s">
        <v>207</v>
      </c>
      <c r="B35" s="20" t="n">
        <v>0</v>
      </c>
      <c r="C35" s="10" t="s">
        <v>200</v>
      </c>
      <c r="D35" s="21" t="n">
        <f aca="false">VLOOKUP("Grid_MarketBased_Default", DB_Master!$A:$B, 2, 0)</f>
        <v>0.7314</v>
      </c>
      <c r="E35" s="9" t="s">
        <v>178</v>
      </c>
      <c r="F35" s="22" t="n">
        <f aca="false">(B35*D35)/1000</f>
        <v>0</v>
      </c>
      <c r="G35" s="7" t="str">
        <f aca="false">("(" &amp; B35 &amp; " " &amp; C35 &amp; " x " &amp; D35 &amp; ") / 1000")</f>
        <v>(0 kWh x 0.7314) / 1000</v>
      </c>
    </row>
    <row r="36" customFormat="false" ht="15" hidden="false" customHeight="true" outlineLevel="0" collapsed="false">
      <c r="A36" s="10" t="s">
        <v>208</v>
      </c>
      <c r="B36" s="20" t="n">
        <v>0</v>
      </c>
      <c r="C36" s="10" t="s">
        <v>200</v>
      </c>
      <c r="D36" s="21" t="n">
        <f aca="false">VLOOKUP("REC_Backed_Electricity", DB_Master!$A:$B, 2, 0)</f>
        <v>0</v>
      </c>
      <c r="E36" s="9" t="s">
        <v>178</v>
      </c>
      <c r="F36" s="22" t="n">
        <f aca="false">(B36*D36)/1000</f>
        <v>0</v>
      </c>
      <c r="G36" s="7" t="str">
        <f aca="false">("(" &amp; B36 &amp; " " &amp; C36 &amp; " x " &amp; D36 &amp; ") / 1000")</f>
        <v>(0 kWh x 0) / 1000</v>
      </c>
    </row>
    <row r="38" customFormat="false" ht="15" hidden="false" customHeight="true" outlineLevel="0" collapsed="false">
      <c r="A38" s="23" t="s">
        <v>209</v>
      </c>
      <c r="B38" s="24"/>
      <c r="C38" s="24"/>
      <c r="D38" s="24"/>
      <c r="E38" s="24"/>
      <c r="F38" s="25" t="n">
        <f aca="false">SUM(F34:F36)</f>
        <v>0</v>
      </c>
      <c r="G38" s="24"/>
      <c r="H38" s="24"/>
    </row>
    <row r="40" customFormat="false" ht="15" hidden="false" customHeight="true" outlineLevel="0" collapsed="false">
      <c r="A40" s="17" t="s">
        <v>210</v>
      </c>
      <c r="B40" s="18"/>
      <c r="C40" s="18"/>
      <c r="D40" s="18"/>
      <c r="E40" s="18"/>
      <c r="F40" s="18"/>
      <c r="G40" s="18"/>
      <c r="H40" s="18"/>
    </row>
    <row r="41" customFormat="false" ht="15" hidden="false" customHeight="true" outlineLevel="0" collapsed="false">
      <c r="A41" s="13" t="s">
        <v>168</v>
      </c>
      <c r="B41" s="13" t="s">
        <v>169</v>
      </c>
      <c r="C41" s="13" t="s">
        <v>170</v>
      </c>
      <c r="D41" s="13" t="s">
        <v>54</v>
      </c>
      <c r="E41" s="13" t="s">
        <v>171</v>
      </c>
      <c r="F41" s="13" t="s">
        <v>172</v>
      </c>
      <c r="G41" s="13" t="s">
        <v>173</v>
      </c>
      <c r="H41" s="13" t="s">
        <v>174</v>
      </c>
    </row>
    <row r="42" customFormat="false" ht="15" hidden="false" customHeight="true" outlineLevel="0" collapsed="false">
      <c r="A42" s="19" t="s">
        <v>211</v>
      </c>
    </row>
    <row r="43" customFormat="false" ht="15" hidden="false" customHeight="true" outlineLevel="0" collapsed="false">
      <c r="A43" s="10" t="s">
        <v>212</v>
      </c>
      <c r="B43" s="20" t="n">
        <v>0</v>
      </c>
      <c r="C43" s="10" t="s">
        <v>213</v>
      </c>
      <c r="D43" s="21" t="n">
        <f aca="false">VLOOKUP("Spend_IT", DB_Master!$A:$B, 2, 0)</f>
        <v>0.005</v>
      </c>
      <c r="E43" s="9" t="s">
        <v>178</v>
      </c>
      <c r="F43" s="22" t="n">
        <f aca="false">(B43*D43)/1000</f>
        <v>0</v>
      </c>
      <c r="G43" s="7" t="str">
        <f aca="false">("(" &amp; B43 &amp; " " &amp; C43 &amp; " x " &amp; D43 &amp; ") / 1000")</f>
        <v>(0 INR x 0.005) / 1000</v>
      </c>
    </row>
    <row r="44" customFormat="false" ht="15" hidden="false" customHeight="true" outlineLevel="0" collapsed="false">
      <c r="A44" s="10" t="s">
        <v>214</v>
      </c>
      <c r="B44" s="20" t="n">
        <v>0</v>
      </c>
      <c r="C44" s="10" t="s">
        <v>213</v>
      </c>
      <c r="D44" s="21" t="n">
        <f aca="false">VLOOKUP("Spend_Construction", DB_Master!$A:$B, 2, 0)</f>
        <v>0.012</v>
      </c>
      <c r="E44" s="9" t="s">
        <v>178</v>
      </c>
      <c r="F44" s="22" t="n">
        <f aca="false">(B44*D44)/1000</f>
        <v>0</v>
      </c>
      <c r="G44" s="7" t="str">
        <f aca="false">("(" &amp; B44 &amp; " " &amp; C44 &amp; " x " &amp; D44 &amp; ") / 1000")</f>
        <v>(0 INR x 0.012) / 1000</v>
      </c>
    </row>
    <row r="45" customFormat="false" ht="15" hidden="false" customHeight="true" outlineLevel="0" collapsed="false">
      <c r="A45" s="10" t="s">
        <v>215</v>
      </c>
      <c r="B45" s="20" t="n">
        <v>0</v>
      </c>
      <c r="C45" s="10" t="s">
        <v>213</v>
      </c>
      <c r="D45" s="21" t="n">
        <f aca="false">VLOOKUP("Spend_Generic_Services", DB_Master!$A:$B, 2, 0)</f>
        <v>0.003</v>
      </c>
      <c r="E45" s="9" t="s">
        <v>178</v>
      </c>
      <c r="F45" s="22" t="n">
        <f aca="false">(B45*D45)/1000</f>
        <v>0</v>
      </c>
      <c r="G45" s="7" t="str">
        <f aca="false">("(" &amp; B45 &amp; " " &amp; C45 &amp; " x " &amp; D45 &amp; ") / 1000")</f>
        <v>(0 INR x 0.003) / 1000</v>
      </c>
    </row>
    <row r="46" customFormat="false" ht="15" hidden="false" customHeight="true" outlineLevel="0" collapsed="false">
      <c r="A46" s="10" t="s">
        <v>216</v>
      </c>
      <c r="B46" s="20" t="n">
        <v>0</v>
      </c>
      <c r="C46" s="10" t="s">
        <v>183</v>
      </c>
      <c r="D46" s="21" t="n">
        <f aca="false">VLOOKUP("Paper_Virgin", DB_Master!$A:$B, 2, 0)</f>
        <v>0.92</v>
      </c>
      <c r="E46" s="9" t="s">
        <v>178</v>
      </c>
      <c r="F46" s="22" t="n">
        <f aca="false">(B46*D46)/1000</f>
        <v>0</v>
      </c>
      <c r="G46" s="7" t="str">
        <f aca="false">("(" &amp; B46 &amp; " " &amp; C46 &amp; " x " &amp; D46 &amp; ") / 1000")</f>
        <v>(0 kg x 0.92) / 1000</v>
      </c>
    </row>
    <row r="47" customFormat="false" ht="15" hidden="false" customHeight="true" outlineLevel="0" collapsed="false">
      <c r="A47" s="10" t="s">
        <v>217</v>
      </c>
      <c r="B47" s="20" t="n">
        <v>0</v>
      </c>
      <c r="C47" s="10" t="s">
        <v>183</v>
      </c>
      <c r="D47" s="21" t="n">
        <f aca="false">VLOOKUP("Paper_Recycled", DB_Master!$A:$B, 2, 0)</f>
        <v>0.6</v>
      </c>
      <c r="E47" s="9" t="s">
        <v>178</v>
      </c>
      <c r="F47" s="22" t="n">
        <f aca="false">(B47*D47)/1000</f>
        <v>0</v>
      </c>
      <c r="G47" s="7" t="str">
        <f aca="false">("(" &amp; B47 &amp; " " &amp; C47 &amp; " x " &amp; D47 &amp; ") / 1000")</f>
        <v>(0 kg x 0.6) / 1000</v>
      </c>
    </row>
    <row r="48" customFormat="false" ht="15" hidden="false" customHeight="true" outlineLevel="0" collapsed="false">
      <c r="A48" s="10" t="s">
        <v>218</v>
      </c>
      <c r="B48" s="20" t="n">
        <v>0</v>
      </c>
      <c r="C48" s="10" t="s">
        <v>183</v>
      </c>
      <c r="D48" s="21" t="n">
        <f aca="false">VLOOKUP("Plastic_Packaging", DB_Master!$A:$B, 2, 0)</f>
        <v>2.5</v>
      </c>
      <c r="E48" s="9" t="s">
        <v>178</v>
      </c>
      <c r="F48" s="22" t="n">
        <f aca="false">(B48*D48)/1000</f>
        <v>0</v>
      </c>
      <c r="G48" s="7" t="str">
        <f aca="false">("(" &amp; B48 &amp; " " &amp; C48 &amp; " x " &amp; D48 &amp; ") / 1000")</f>
        <v>(0 kg x 2.5) / 1000</v>
      </c>
    </row>
    <row r="49" customFormat="false" ht="15" hidden="false" customHeight="true" outlineLevel="0" collapsed="false">
      <c r="A49" s="10" t="s">
        <v>219</v>
      </c>
      <c r="B49" s="20" t="n">
        <v>0</v>
      </c>
      <c r="C49" s="10" t="s">
        <v>183</v>
      </c>
      <c r="D49" s="21" t="n">
        <f aca="false">VLOOKUP("Construction_Steel", DB_Master!$A:$B, 2, 0)</f>
        <v>2.33</v>
      </c>
      <c r="E49" s="9" t="s">
        <v>178</v>
      </c>
      <c r="F49" s="22" t="n">
        <f aca="false">(B49*D49)/1000</f>
        <v>0</v>
      </c>
      <c r="G49" s="7" t="str">
        <f aca="false">("(" &amp; B49 &amp; " " &amp; C49 &amp; " x " &amp; D49 &amp; ") / 1000")</f>
        <v>(0 kg x 2.33) / 1000</v>
      </c>
    </row>
    <row r="50" customFormat="false" ht="15" hidden="false" customHeight="true" outlineLevel="0" collapsed="false">
      <c r="A50" s="10" t="s">
        <v>220</v>
      </c>
      <c r="B50" s="20" t="n">
        <v>0</v>
      </c>
      <c r="C50" s="10" t="s">
        <v>183</v>
      </c>
      <c r="D50" s="21" t="n">
        <f aca="false">VLOOKUP("Cement_Portland", DB_Master!$A:$B, 2, 0)</f>
        <v>0.9</v>
      </c>
      <c r="E50" s="9" t="s">
        <v>178</v>
      </c>
      <c r="F50" s="22" t="n">
        <f aca="false">(B50*D50)/1000</f>
        <v>0</v>
      </c>
      <c r="G50" s="7" t="str">
        <f aca="false">("(" &amp; B50 &amp; " " &amp; C50 &amp; " x " &amp; D50 &amp; ") / 1000")</f>
        <v>(0 kg x 0.9) / 1000</v>
      </c>
    </row>
    <row r="51" customFormat="false" ht="15" hidden="false" customHeight="true" outlineLevel="0" collapsed="false">
      <c r="A51" s="19" t="s">
        <v>221</v>
      </c>
    </row>
    <row r="52" customFormat="false" ht="15" hidden="false" customHeight="true" outlineLevel="0" collapsed="false">
      <c r="A52" s="10" t="s">
        <v>222</v>
      </c>
      <c r="B52" s="20" t="n">
        <v>0</v>
      </c>
      <c r="C52" s="10" t="s">
        <v>223</v>
      </c>
      <c r="D52" s="21" t="n">
        <f aca="false">VLOOKUP("Laptop_Unit", DB_Master!$A:$B, 2, 0)</f>
        <v>250</v>
      </c>
      <c r="E52" s="9" t="s">
        <v>178</v>
      </c>
      <c r="F52" s="22" t="n">
        <f aca="false">(B52*D52)/1000</f>
        <v>0</v>
      </c>
      <c r="G52" s="7" t="str">
        <f aca="false">("(" &amp; B52 &amp; " " &amp; C52 &amp; " x " &amp; D52 &amp; ") / 1000")</f>
        <v>(0 Units x 250) / 1000</v>
      </c>
    </row>
    <row r="53" customFormat="false" ht="15" hidden="false" customHeight="true" outlineLevel="0" collapsed="false">
      <c r="A53" s="10" t="s">
        <v>224</v>
      </c>
      <c r="B53" s="20" t="n">
        <v>0</v>
      </c>
      <c r="C53" s="10" t="s">
        <v>223</v>
      </c>
      <c r="D53" s="21" t="n">
        <f aca="false">VLOOKUP("Desktop_Unit", DB_Master!$A:$B, 2, 0)</f>
        <v>350</v>
      </c>
      <c r="E53" s="9" t="s">
        <v>178</v>
      </c>
      <c r="F53" s="22" t="n">
        <f aca="false">(B53*D53)/1000</f>
        <v>0</v>
      </c>
      <c r="G53" s="7" t="str">
        <f aca="false">("(" &amp; B53 &amp; " " &amp; C53 &amp; " x " &amp; D53 &amp; ") / 1000")</f>
        <v>(0 Units x 350) / 1000</v>
      </c>
    </row>
    <row r="54" customFormat="false" ht="15" hidden="false" customHeight="true" outlineLevel="0" collapsed="false">
      <c r="A54" s="10" t="s">
        <v>225</v>
      </c>
      <c r="B54" s="20" t="n">
        <v>0</v>
      </c>
      <c r="C54" s="10" t="s">
        <v>223</v>
      </c>
      <c r="D54" s="21" t="n">
        <f aca="false">VLOOKUP("Smartphone_Unit", DB_Master!$A:$B, 2, 0)</f>
        <v>65</v>
      </c>
      <c r="E54" s="9" t="s">
        <v>178</v>
      </c>
      <c r="F54" s="22" t="n">
        <f aca="false">(B54*D54)/1000</f>
        <v>0</v>
      </c>
      <c r="G54" s="7" t="str">
        <f aca="false">("(" &amp; B54 &amp; " " &amp; C54 &amp; " x " &amp; D54 &amp; ") / 1000")</f>
        <v>(0 Units x 65) / 1000</v>
      </c>
    </row>
    <row r="55" customFormat="false" ht="15" hidden="false" customHeight="true" outlineLevel="0" collapsed="false">
      <c r="A55" s="10" t="s">
        <v>226</v>
      </c>
      <c r="B55" s="20" t="n">
        <v>0</v>
      </c>
      <c r="C55" s="10" t="s">
        <v>183</v>
      </c>
      <c r="D55" s="21" t="n">
        <f aca="false">VLOOKUP("Furniture", DB_Master!$A:$B, 2, 0)</f>
        <v>3.5</v>
      </c>
      <c r="E55" s="9" t="s">
        <v>178</v>
      </c>
      <c r="F55" s="22" t="n">
        <f aca="false">(B55*D55)/1000</f>
        <v>0</v>
      </c>
      <c r="G55" s="7" t="str">
        <f aca="false">("(" &amp; B55 &amp; " " &amp; C55 &amp; " x " &amp; D55 &amp; ") / 1000")</f>
        <v>(0 kg x 3.5) / 1000</v>
      </c>
    </row>
    <row r="56" customFormat="false" ht="15" hidden="false" customHeight="true" outlineLevel="0" collapsed="false">
      <c r="A56" s="19" t="s">
        <v>227</v>
      </c>
    </row>
    <row r="57" customFormat="false" ht="15" hidden="false" customHeight="true" outlineLevel="0" collapsed="false">
      <c r="A57" s="10" t="s">
        <v>228</v>
      </c>
      <c r="B57" s="20" t="n">
        <v>0</v>
      </c>
      <c r="C57" s="10" t="s">
        <v>177</v>
      </c>
      <c r="D57" s="21" t="n">
        <f aca="false">VLOOKUP("WTT_Diesel", DB_Master!$A:$B, 2, 0)</f>
        <v>0.5835</v>
      </c>
      <c r="E57" s="9" t="s">
        <v>178</v>
      </c>
      <c r="F57" s="22" t="n">
        <f aca="false">(B57*D57)/1000</f>
        <v>0</v>
      </c>
      <c r="G57" s="7" t="str">
        <f aca="false">("(" &amp; B57 &amp; " " &amp; C57 &amp; " x " &amp; D57 &amp; ") / 1000")</f>
        <v>(0 Liters x 0.5835) / 1000</v>
      </c>
    </row>
    <row r="58" customFormat="false" ht="15" hidden="false" customHeight="true" outlineLevel="0" collapsed="false">
      <c r="A58" s="10" t="s">
        <v>229</v>
      </c>
      <c r="B58" s="20" t="n">
        <v>0</v>
      </c>
      <c r="C58" s="10" t="s">
        <v>177</v>
      </c>
      <c r="D58" s="21" t="n">
        <f aca="false">VLOOKUP("WTT_Petrol", DB_Master!$A:$B, 2, 0)</f>
        <v>0.4628</v>
      </c>
      <c r="E58" s="9" t="s">
        <v>178</v>
      </c>
      <c r="F58" s="22" t="n">
        <f aca="false">(B58*D58)/1000</f>
        <v>0</v>
      </c>
      <c r="G58" s="7" t="str">
        <f aca="false">("(" &amp; B58 &amp; " " &amp; C58 &amp; " x " &amp; D58 &amp; ") / 1000")</f>
        <v>(0 Liters x 0.4628) / 1000</v>
      </c>
    </row>
    <row r="59" customFormat="false" ht="15" hidden="false" customHeight="true" outlineLevel="0" collapsed="false">
      <c r="A59" s="10" t="s">
        <v>230</v>
      </c>
      <c r="B59" s="20" t="n">
        <v>0</v>
      </c>
      <c r="C59" s="10" t="s">
        <v>200</v>
      </c>
      <c r="D59" s="21" t="n">
        <f aca="false">VLOOKUP("Grid_TD_Loss", DB_Master!$A:$B, 2, 0)</f>
        <v>0.1459</v>
      </c>
      <c r="E59" s="9" t="s">
        <v>178</v>
      </c>
      <c r="F59" s="22" t="n">
        <f aca="false">(B59*D59)/1000</f>
        <v>0</v>
      </c>
      <c r="G59" s="7" t="str">
        <f aca="false">("(" &amp; B59 &amp; " " &amp; C59 &amp; " x " &amp; D59 &amp; ") / 1000")</f>
        <v>(0 kWh x 0.1459) / 1000</v>
      </c>
    </row>
    <row r="60" customFormat="false" ht="15" hidden="false" customHeight="true" outlineLevel="0" collapsed="false">
      <c r="A60" s="19" t="s">
        <v>231</v>
      </c>
    </row>
    <row r="61" customFormat="false" ht="15" hidden="false" customHeight="true" outlineLevel="0" collapsed="false">
      <c r="A61" s="10" t="s">
        <v>232</v>
      </c>
      <c r="B61" s="20" t="n">
        <v>0</v>
      </c>
      <c r="C61" s="10" t="s">
        <v>233</v>
      </c>
      <c r="D61" s="21" t="n">
        <f aca="false">VLOOKUP("Transport_Truck_tkm", DB_Master!$A:$B, 2, 0)</f>
        <v>0.09</v>
      </c>
      <c r="E61" s="9" t="s">
        <v>178</v>
      </c>
      <c r="F61" s="22" t="n">
        <f aca="false">(B61*D61)/1000</f>
        <v>0</v>
      </c>
      <c r="G61" s="7" t="str">
        <f aca="false">("(" &amp; B61 &amp; " " &amp; C61 &amp; " x " &amp; D61 &amp; ") / 1000")</f>
        <v>(0 tonne-km x 0.09) / 1000</v>
      </c>
    </row>
    <row r="62" customFormat="false" ht="15" hidden="false" customHeight="true" outlineLevel="0" collapsed="false">
      <c r="A62" s="10" t="s">
        <v>234</v>
      </c>
      <c r="B62" s="20" t="n">
        <v>0</v>
      </c>
      <c r="C62" s="10" t="s">
        <v>235</v>
      </c>
      <c r="D62" s="21" t="n">
        <f aca="false">VLOOKUP("Transport_LCV_km", DB_Master!$A:$B, 2, 0)</f>
        <v>0.45</v>
      </c>
      <c r="E62" s="9" t="s">
        <v>178</v>
      </c>
      <c r="F62" s="22" t="n">
        <f aca="false">(B62*D62)/1000</f>
        <v>0</v>
      </c>
      <c r="G62" s="7" t="str">
        <f aca="false">("(" &amp; B62 &amp; " " &amp; C62 &amp; " x " &amp; D62 &amp; ") / 1000")</f>
        <v>(0 km x 0.45) / 1000</v>
      </c>
    </row>
    <row r="63" customFormat="false" ht="15" hidden="false" customHeight="true" outlineLevel="0" collapsed="false">
      <c r="A63" s="10" t="s">
        <v>236</v>
      </c>
      <c r="B63" s="20" t="n">
        <v>0</v>
      </c>
      <c r="C63" s="10" t="s">
        <v>235</v>
      </c>
      <c r="D63" s="21" t="n">
        <f aca="false">VLOOKUP("Transport_HGV_km", DB_Master!$A:$B, 2, 0)</f>
        <v>0.85</v>
      </c>
      <c r="E63" s="9" t="s">
        <v>178</v>
      </c>
      <c r="F63" s="22" t="n">
        <f aca="false">(B63*D63)/1000</f>
        <v>0</v>
      </c>
      <c r="G63" s="7" t="str">
        <f aca="false">("(" &amp; B63 &amp; " " &amp; C63 &amp; " x " &amp; D63 &amp; ") / 1000")</f>
        <v>(0 km x 0.85) / 1000</v>
      </c>
    </row>
    <row r="64" customFormat="false" ht="15" hidden="false" customHeight="true" outlineLevel="0" collapsed="false">
      <c r="A64" s="10" t="s">
        <v>237</v>
      </c>
      <c r="B64" s="20" t="n">
        <v>0</v>
      </c>
      <c r="C64" s="10" t="s">
        <v>233</v>
      </c>
      <c r="D64" s="21" t="n">
        <f aca="false">VLOOKUP("Rail_Freight", DB_Master!$A:$B, 2, 0)</f>
        <v>0.015</v>
      </c>
      <c r="E64" s="9" t="s">
        <v>178</v>
      </c>
      <c r="F64" s="22" t="n">
        <f aca="false">(B64*D64)/1000</f>
        <v>0</v>
      </c>
      <c r="G64" s="7" t="str">
        <f aca="false">("(" &amp; B64 &amp; " " &amp; C64 &amp; " x " &amp; D64 &amp; ") / 1000")</f>
        <v>(0 tonne-km x 0.015) / 1000</v>
      </c>
    </row>
    <row r="65" customFormat="false" ht="15" hidden="false" customHeight="true" outlineLevel="0" collapsed="false">
      <c r="A65" s="10" t="s">
        <v>238</v>
      </c>
      <c r="B65" s="20" t="n">
        <v>0</v>
      </c>
      <c r="C65" s="10" t="s">
        <v>233</v>
      </c>
      <c r="D65" s="21" t="n">
        <f aca="false">VLOOKUP("Air_Freight_Cargo", DB_Master!$A:$B, 2, 0)</f>
        <v>1.58</v>
      </c>
      <c r="E65" s="9" t="s">
        <v>178</v>
      </c>
      <c r="F65" s="22" t="n">
        <f aca="false">(B65*D65)/1000</f>
        <v>0</v>
      </c>
      <c r="G65" s="7" t="str">
        <f aca="false">("(" &amp; B65 &amp; " " &amp; C65 &amp; " x " &amp; D65 &amp; ") / 1000")</f>
        <v>(0 tonne-km x 1.58) / 1000</v>
      </c>
    </row>
    <row r="66" customFormat="false" ht="15" hidden="false" customHeight="true" outlineLevel="0" collapsed="false">
      <c r="A66" s="19" t="s">
        <v>239</v>
      </c>
    </row>
    <row r="67" customFormat="false" ht="15" hidden="false" customHeight="true" outlineLevel="0" collapsed="false">
      <c r="A67" s="10" t="s">
        <v>240</v>
      </c>
      <c r="B67" s="20" t="n">
        <v>0</v>
      </c>
      <c r="C67" s="10" t="s">
        <v>183</v>
      </c>
      <c r="D67" s="21" t="n">
        <f aca="false">VLOOKUP("Waste_Landfill", DB_Master!$A:$B, 2, 0)</f>
        <v>0.85</v>
      </c>
      <c r="E67" s="9" t="s">
        <v>178</v>
      </c>
      <c r="F67" s="22" t="n">
        <f aca="false">(B67*D67)/1000</f>
        <v>0</v>
      </c>
      <c r="G67" s="7" t="str">
        <f aca="false">("(" &amp; B67 &amp; " " &amp; C67 &amp; " x " &amp; D67 &amp; ") / 1000")</f>
        <v>(0 kg x 0.85) / 1000</v>
      </c>
    </row>
    <row r="68" customFormat="false" ht="15" hidden="false" customHeight="true" outlineLevel="0" collapsed="false">
      <c r="A68" s="10" t="s">
        <v>241</v>
      </c>
      <c r="B68" s="20" t="n">
        <v>0</v>
      </c>
      <c r="C68" s="10" t="s">
        <v>183</v>
      </c>
      <c r="D68" s="21" t="n">
        <f aca="false">VLOOKUP("Waste_Recycle", DB_Master!$A:$B, 2, 0)</f>
        <v>0.021</v>
      </c>
      <c r="E68" s="9" t="s">
        <v>178</v>
      </c>
      <c r="F68" s="22" t="n">
        <f aca="false">(B68*D68)/1000</f>
        <v>0</v>
      </c>
      <c r="G68" s="7" t="str">
        <f aca="false">("(" &amp; B68 &amp; " " &amp; C68 &amp; " x " &amp; D68 &amp; ") / 1000")</f>
        <v>(0 kg x 0.021) / 1000</v>
      </c>
    </row>
    <row r="69" customFormat="false" ht="15" hidden="false" customHeight="true" outlineLevel="0" collapsed="false">
      <c r="A69" s="10" t="s">
        <v>242</v>
      </c>
      <c r="B69" s="20" t="n">
        <v>0</v>
      </c>
      <c r="C69" s="10" t="s">
        <v>183</v>
      </c>
      <c r="D69" s="21" t="n">
        <f aca="false">VLOOKUP("Waste_Incineration", DB_Master!$A:$B, 2, 0)</f>
        <v>0.4</v>
      </c>
      <c r="E69" s="9" t="s">
        <v>178</v>
      </c>
      <c r="F69" s="22" t="n">
        <f aca="false">(B69*D69)/1000</f>
        <v>0</v>
      </c>
      <c r="G69" s="7" t="str">
        <f aca="false">("(" &amp; B69 &amp; " " &amp; C69 &amp; " x " &amp; D69 &amp; ") / 1000")</f>
        <v>(0 kg x 0.4) / 1000</v>
      </c>
    </row>
    <row r="70" customFormat="false" ht="15" hidden="false" customHeight="true" outlineLevel="0" collapsed="false">
      <c r="A70" s="10" t="s">
        <v>243</v>
      </c>
      <c r="B70" s="20" t="n">
        <v>0</v>
      </c>
      <c r="C70" s="10" t="s">
        <v>244</v>
      </c>
      <c r="D70" s="21" t="n">
        <f aca="false">VLOOKUP("Wastewater_Treatment", DB_Master!$A:$B, 2, 0)</f>
        <v>0.708</v>
      </c>
      <c r="E70" s="9" t="s">
        <v>178</v>
      </c>
      <c r="F70" s="22" t="n">
        <f aca="false">(B70*D70)/1000</f>
        <v>0</v>
      </c>
      <c r="G70" s="7" t="str">
        <f aca="false">("(" &amp; B70 &amp; " " &amp; C70 &amp; " x " &amp; D70 &amp; ") / 1000")</f>
        <v>(0 m3 x 0.708) / 1000</v>
      </c>
    </row>
    <row r="71" customFormat="false" ht="15" hidden="false" customHeight="true" outlineLevel="0" collapsed="false">
      <c r="A71" s="19" t="s">
        <v>245</v>
      </c>
    </row>
    <row r="72" customFormat="false" ht="15" hidden="false" customHeight="true" outlineLevel="0" collapsed="false">
      <c r="A72" s="10" t="s">
        <v>246</v>
      </c>
      <c r="B72" s="20" t="n">
        <v>0</v>
      </c>
      <c r="C72" s="10" t="s">
        <v>247</v>
      </c>
      <c r="D72" s="21" t="n">
        <f aca="false">VLOOKUP("Air_Domestic", DB_Master!$A:$B, 2, 0)</f>
        <v>0.12</v>
      </c>
      <c r="E72" s="9" t="s">
        <v>178</v>
      </c>
      <c r="F72" s="22" t="n">
        <f aca="false">(B72*D72)/1000</f>
        <v>0</v>
      </c>
      <c r="G72" s="7" t="str">
        <f aca="false">("(" &amp; B72 &amp; " " &amp; C72 &amp; " x " &amp; D72 &amp; ") / 1000")</f>
        <v>(0 p-km x 0.12) / 1000</v>
      </c>
    </row>
    <row r="73" customFormat="false" ht="15" hidden="false" customHeight="true" outlineLevel="0" collapsed="false">
      <c r="A73" s="10" t="s">
        <v>248</v>
      </c>
      <c r="B73" s="20" t="n">
        <v>0</v>
      </c>
      <c r="C73" s="10" t="s">
        <v>247</v>
      </c>
      <c r="D73" s="21" t="n">
        <f aca="false">VLOOKUP("Air_International", DB_Master!$A:$B, 2, 0)</f>
        <v>0.117</v>
      </c>
      <c r="E73" s="9" t="s">
        <v>178</v>
      </c>
      <c r="F73" s="22" t="n">
        <f aca="false">(B73*D73)/1000</f>
        <v>0</v>
      </c>
      <c r="G73" s="7" t="str">
        <f aca="false">("(" &amp; B73 &amp; " " &amp; C73 &amp; " x " &amp; D73 &amp; ") / 1000")</f>
        <v>(0 p-km x 0.117) / 1000</v>
      </c>
    </row>
    <row r="74" customFormat="false" ht="15" hidden="false" customHeight="true" outlineLevel="0" collapsed="false">
      <c r="A74" s="10" t="s">
        <v>249</v>
      </c>
      <c r="B74" s="20" t="n">
        <v>0</v>
      </c>
      <c r="C74" s="10" t="s">
        <v>247</v>
      </c>
      <c r="D74" s="21" t="n">
        <f aca="false">VLOOKUP("Rail_Passenger", DB_Master!$A:$B, 2, 0)</f>
        <v>0.01</v>
      </c>
      <c r="E74" s="9" t="s">
        <v>178</v>
      </c>
      <c r="F74" s="22" t="n">
        <f aca="false">(B74*D74)/1000</f>
        <v>0</v>
      </c>
      <c r="G74" s="7" t="str">
        <f aca="false">("(" &amp; B74 &amp; " " &amp; C74 &amp; " x " &amp; D74 &amp; ") / 1000")</f>
        <v>(0 p-km x 0.01) / 1000</v>
      </c>
    </row>
    <row r="75" customFormat="false" ht="15" hidden="false" customHeight="true" outlineLevel="0" collapsed="false">
      <c r="A75" s="10" t="s">
        <v>250</v>
      </c>
      <c r="B75" s="20" t="n">
        <v>0</v>
      </c>
      <c r="C75" s="10" t="s">
        <v>235</v>
      </c>
      <c r="D75" s="21" t="n">
        <f aca="false">VLOOKUP("Taxi_Diesel", DB_Master!$A:$B, 2, 0)</f>
        <v>0.14</v>
      </c>
      <c r="E75" s="9" t="s">
        <v>178</v>
      </c>
      <c r="F75" s="22" t="n">
        <f aca="false">(B75*D75)/1000</f>
        <v>0</v>
      </c>
      <c r="G75" s="7" t="str">
        <f aca="false">("(" &amp; B75 &amp; " " &amp; C75 &amp; " x " &amp; D75 &amp; ") / 1000")</f>
        <v>(0 km x 0.14) / 1000</v>
      </c>
    </row>
    <row r="76" customFormat="false" ht="15" hidden="false" customHeight="true" outlineLevel="0" collapsed="false">
      <c r="A76" s="10" t="s">
        <v>251</v>
      </c>
      <c r="B76" s="20" t="n">
        <v>0</v>
      </c>
      <c r="C76" s="10" t="s">
        <v>252</v>
      </c>
      <c r="D76" s="21" t="n">
        <f aca="false">VLOOKUP("Hotel_5Star", DB_Master!$A:$B, 2, 0)</f>
        <v>75.5</v>
      </c>
      <c r="E76" s="9" t="s">
        <v>178</v>
      </c>
      <c r="F76" s="22" t="n">
        <f aca="false">(B76*D76)/1000</f>
        <v>0</v>
      </c>
      <c r="G76" s="7" t="str">
        <f aca="false">("(" &amp; B76 &amp; " " &amp; C76 &amp; " x " &amp; D76 &amp; ") / 1000")</f>
        <v>(0 Nights x 75.5) / 1000</v>
      </c>
    </row>
    <row r="77" customFormat="false" ht="15" hidden="false" customHeight="true" outlineLevel="0" collapsed="false">
      <c r="A77" s="10" t="s">
        <v>253</v>
      </c>
      <c r="B77" s="20" t="n">
        <v>0</v>
      </c>
      <c r="C77" s="10" t="s">
        <v>252</v>
      </c>
      <c r="D77" s="21" t="n">
        <f aca="false">VLOOKUP("Hotel_Budget", DB_Master!$A:$B, 2, 0)</f>
        <v>25</v>
      </c>
      <c r="E77" s="9" t="s">
        <v>178</v>
      </c>
      <c r="F77" s="22" t="n">
        <f aca="false">(B77*D77)/1000</f>
        <v>0</v>
      </c>
      <c r="G77" s="7" t="str">
        <f aca="false">("(" &amp; B77 &amp; " " &amp; C77 &amp; " x " &amp; D77 &amp; ") / 1000")</f>
        <v>(0 Nights x 25) / 1000</v>
      </c>
    </row>
    <row r="78" customFormat="false" ht="15" hidden="false" customHeight="true" outlineLevel="0" collapsed="false">
      <c r="A78" s="19" t="s">
        <v>254</v>
      </c>
    </row>
    <row r="79" customFormat="false" ht="15" hidden="false" customHeight="true" outlineLevel="0" collapsed="false">
      <c r="A79" s="10" t="s">
        <v>255</v>
      </c>
      <c r="B79" s="20" t="n">
        <v>0</v>
      </c>
      <c r="C79" s="10" t="s">
        <v>235</v>
      </c>
      <c r="D79" s="21" t="n">
        <f aca="false">VLOOKUP("Commute_2Wheeler", DB_Master!$A:$B, 2, 0)</f>
        <v>0.04</v>
      </c>
      <c r="E79" s="9" t="s">
        <v>178</v>
      </c>
      <c r="F79" s="22" t="n">
        <f aca="false">(B79*D79)/1000</f>
        <v>0</v>
      </c>
      <c r="G79" s="7" t="str">
        <f aca="false">("(" &amp; B79 &amp; " " &amp; C79 &amp; " x " &amp; D79 &amp; ") / 1000")</f>
        <v>(0 km x 0.04) / 1000</v>
      </c>
    </row>
    <row r="80" customFormat="false" ht="15" hidden="false" customHeight="true" outlineLevel="0" collapsed="false">
      <c r="A80" s="10" t="s">
        <v>256</v>
      </c>
      <c r="B80" s="20" t="n">
        <v>0</v>
      </c>
      <c r="C80" s="10" t="s">
        <v>235</v>
      </c>
      <c r="D80" s="21" t="n">
        <f aca="false">VLOOKUP("Commute_Car_Small", DB_Master!$A:$B, 2, 0)</f>
        <v>0.11</v>
      </c>
      <c r="E80" s="9" t="s">
        <v>178</v>
      </c>
      <c r="F80" s="22" t="n">
        <f aca="false">(B80*D80)/1000</f>
        <v>0</v>
      </c>
      <c r="G80" s="7" t="str">
        <f aca="false">("(" &amp; B80 &amp; " " &amp; C80 &amp; " x " &amp; D80 &amp; ") / 1000")</f>
        <v>(0 km x 0.11) / 1000</v>
      </c>
    </row>
    <row r="81" customFormat="false" ht="15" hidden="false" customHeight="true" outlineLevel="0" collapsed="false">
      <c r="A81" s="10" t="s">
        <v>257</v>
      </c>
      <c r="B81" s="20" t="n">
        <v>0</v>
      </c>
      <c r="C81" s="10" t="s">
        <v>235</v>
      </c>
      <c r="D81" s="21" t="n">
        <f aca="false">VLOOKUP("Commute_Car_Avg", DB_Master!$A:$B, 2, 0)</f>
        <v>0.14</v>
      </c>
      <c r="E81" s="9" t="s">
        <v>178</v>
      </c>
      <c r="F81" s="22" t="n">
        <f aca="false">(B81*D81)/1000</f>
        <v>0</v>
      </c>
      <c r="G81" s="7" t="str">
        <f aca="false">("(" &amp; B81 &amp; " " &amp; C81 &amp; " x " &amp; D81 &amp; ") / 1000")</f>
        <v>(0 km x 0.14) / 1000</v>
      </c>
    </row>
    <row r="82" customFormat="false" ht="15" hidden="false" customHeight="true" outlineLevel="0" collapsed="false">
      <c r="A82" s="10" t="s">
        <v>258</v>
      </c>
      <c r="B82" s="20" t="n">
        <v>0</v>
      </c>
      <c r="C82" s="10" t="s">
        <v>235</v>
      </c>
      <c r="D82" s="21" t="n">
        <f aca="false">VLOOKUP("Commute_Car_Large", DB_Master!$A:$B, 2, 0)</f>
        <v>0.17</v>
      </c>
      <c r="E82" s="9" t="s">
        <v>178</v>
      </c>
      <c r="F82" s="22" t="n">
        <f aca="false">(B82*D82)/1000</f>
        <v>0</v>
      </c>
      <c r="G82" s="7" t="str">
        <f aca="false">("(" &amp; B82 &amp; " " &amp; C82 &amp; " x " &amp; D82 &amp; ") / 1000")</f>
        <v>(0 km x 0.17) / 1000</v>
      </c>
    </row>
    <row r="83" customFormat="false" ht="15" hidden="false" customHeight="true" outlineLevel="0" collapsed="false">
      <c r="A83" s="10" t="s">
        <v>259</v>
      </c>
      <c r="B83" s="20" t="n">
        <v>0</v>
      </c>
      <c r="C83" s="10" t="s">
        <v>247</v>
      </c>
      <c r="D83" s="21" t="n">
        <f aca="false">VLOOKUP("Commute_Bus", DB_Master!$A:$B, 2, 0)</f>
        <v>0.03</v>
      </c>
      <c r="E83" s="9" t="s">
        <v>178</v>
      </c>
      <c r="F83" s="22" t="n">
        <f aca="false">(B83*D83)/1000</f>
        <v>0</v>
      </c>
      <c r="G83" s="7" t="str">
        <f aca="false">("(" &amp; B83 &amp; " " &amp; C83 &amp; " x " &amp; D83 &amp; ") / 1000")</f>
        <v>(0 p-km x 0.03) / 1000</v>
      </c>
    </row>
    <row r="84" customFormat="false" ht="15" hidden="false" customHeight="true" outlineLevel="0" collapsed="false">
      <c r="A84" s="10" t="s">
        <v>260</v>
      </c>
      <c r="B84" s="20" t="n">
        <v>0</v>
      </c>
      <c r="C84" s="10" t="s">
        <v>247</v>
      </c>
      <c r="D84" s="21" t="n">
        <f aca="false">VLOOKUP("Metro_Rail", DB_Master!$A:$B, 2, 0)</f>
        <v>0.015</v>
      </c>
      <c r="E84" s="9" t="s">
        <v>178</v>
      </c>
      <c r="F84" s="22" t="n">
        <f aca="false">(B84*D84)/1000</f>
        <v>0</v>
      </c>
      <c r="G84" s="7" t="str">
        <f aca="false">("(" &amp; B84 &amp; " " &amp; C84 &amp; " x " &amp; D84 &amp; ") / 1000")</f>
        <v>(0 p-km x 0.015) / 1000</v>
      </c>
    </row>
    <row r="85" customFormat="false" ht="15" hidden="false" customHeight="true" outlineLevel="0" collapsed="false">
      <c r="A85" s="19" t="s">
        <v>261</v>
      </c>
      <c r="D85" s="26" t="s">
        <v>262</v>
      </c>
      <c r="E85" s="26"/>
      <c r="F85" s="26"/>
      <c r="G85" s="26"/>
      <c r="H85" s="26"/>
    </row>
    <row r="86" customFormat="false" ht="15" hidden="false" customHeight="true" outlineLevel="0" collapsed="false">
      <c r="A86" s="10" t="s">
        <v>263</v>
      </c>
      <c r="B86" s="20" t="n">
        <v>0</v>
      </c>
      <c r="C86" s="10" t="s">
        <v>200</v>
      </c>
      <c r="D86" s="21" t="n">
        <f aca="false">VLOOKUP("Grid_India_CEA", DB_Master!$A:$B, 2, 0)</f>
        <v>0.7314</v>
      </c>
      <c r="E86" s="9" t="s">
        <v>178</v>
      </c>
      <c r="F86" s="22" t="n">
        <f aca="false">(B86*D86)/1000</f>
        <v>0</v>
      </c>
      <c r="G86" s="7" t="str">
        <f aca="false">("(" &amp; B86 &amp; " " &amp; C86 &amp; " x " &amp; D86 &amp; ") / 1000")</f>
        <v>(0 kWh x 0.7314) / 1000</v>
      </c>
    </row>
    <row r="87" customFormat="false" ht="15" hidden="false" customHeight="true" outlineLevel="0" collapsed="false">
      <c r="A87" s="10" t="s">
        <v>264</v>
      </c>
      <c r="B87" s="20" t="n">
        <v>0</v>
      </c>
      <c r="C87" s="10" t="s">
        <v>244</v>
      </c>
      <c r="D87" s="21" t="n">
        <f aca="false">VLOOKUP("Water_Supply", DB_Master!$A:$B, 2, 0)</f>
        <v>0.31</v>
      </c>
      <c r="E87" s="9" t="s">
        <v>178</v>
      </c>
      <c r="F87" s="22" t="n">
        <f aca="false">(B87*D87)/1000</f>
        <v>0</v>
      </c>
      <c r="G87" s="7" t="str">
        <f aca="false">("(" &amp; B87 &amp; " " &amp; C87 &amp; " x " &amp; D87 &amp; ") / 1000")</f>
        <v>(0 m3 x 0.31) / 1000</v>
      </c>
    </row>
    <row r="88" customFormat="false" ht="15" hidden="false" customHeight="true" outlineLevel="0" collapsed="false">
      <c r="A88" s="19" t="s">
        <v>265</v>
      </c>
    </row>
    <row r="89" customFormat="false" ht="15" hidden="false" customHeight="true" outlineLevel="0" collapsed="false">
      <c r="A89" s="10" t="s">
        <v>266</v>
      </c>
      <c r="B89" s="20" t="n">
        <v>0</v>
      </c>
      <c r="C89" s="10" t="s">
        <v>233</v>
      </c>
      <c r="D89" s="21" t="n">
        <f aca="false">VLOOKUP("Transport_Truck_tkm", DB_Master!$A:$B, 2, 0)</f>
        <v>0.09</v>
      </c>
      <c r="E89" s="9" t="s">
        <v>178</v>
      </c>
      <c r="F89" s="22" t="n">
        <f aca="false">(B89*D89)/1000</f>
        <v>0</v>
      </c>
      <c r="G89" s="7" t="str">
        <f aca="false">("(" &amp; B89 &amp; " " &amp; C89 &amp; " x " &amp; D89 &amp; ") / 1000")</f>
        <v>(0 tonne-km x 0.09) / 1000</v>
      </c>
    </row>
    <row r="90" customFormat="false" ht="15" hidden="false" customHeight="true" outlineLevel="0" collapsed="false">
      <c r="A90" s="10" t="s">
        <v>267</v>
      </c>
      <c r="B90" s="20" t="n">
        <v>0</v>
      </c>
      <c r="C90" s="10" t="s">
        <v>233</v>
      </c>
      <c r="D90" s="21" t="n">
        <f aca="false">VLOOKUP("Air_Freight_Cargo", DB_Master!$A:$B, 2, 0)</f>
        <v>1.58</v>
      </c>
      <c r="E90" s="9" t="s">
        <v>178</v>
      </c>
      <c r="F90" s="22" t="n">
        <f aca="false">(B90*D90)/1000</f>
        <v>0</v>
      </c>
      <c r="G90" s="7" t="str">
        <f aca="false">("(" &amp; B90 &amp; " " &amp; C90 &amp; " x " &amp; D90 &amp; ") / 1000")</f>
        <v>(0 tonne-km x 1.58) / 1000</v>
      </c>
    </row>
    <row r="91" customFormat="false" ht="15" hidden="false" customHeight="true" outlineLevel="0" collapsed="false">
      <c r="A91" s="10" t="s">
        <v>268</v>
      </c>
      <c r="B91" s="20" t="n">
        <v>0</v>
      </c>
      <c r="C91" s="10" t="s">
        <v>233</v>
      </c>
      <c r="D91" s="21" t="n">
        <f aca="false">VLOOKUP("Rail_Freight", DB_Master!$A:$B, 2, 0)</f>
        <v>0.015</v>
      </c>
      <c r="E91" s="9" t="s">
        <v>178</v>
      </c>
      <c r="F91" s="22" t="n">
        <f aca="false">(B91*D91)/1000</f>
        <v>0</v>
      </c>
      <c r="G91" s="7" t="str">
        <f aca="false">("(" &amp; B91 &amp; " " &amp; C91 &amp; " x " &amp; D91 &amp; ") / 1000")</f>
        <v>(0 tonne-km x 0.015) / 1000</v>
      </c>
    </row>
    <row r="92" customFormat="false" ht="15" hidden="false" customHeight="true" outlineLevel="0" collapsed="false">
      <c r="A92" s="19" t="s">
        <v>269</v>
      </c>
    </row>
    <row r="93" customFormat="false" ht="15" hidden="false" customHeight="true" outlineLevel="0" collapsed="false">
      <c r="A93" s="10" t="s">
        <v>270</v>
      </c>
      <c r="B93" s="20" t="n">
        <v>0</v>
      </c>
      <c r="C93" s="10" t="s">
        <v>223</v>
      </c>
      <c r="D93" s="21" t="n">
        <f aca="false">VLOOKUP("Processing_Sold_Products_Proxy", DB_Master!$A:$B, 2, 0)</f>
        <v>0</v>
      </c>
      <c r="E93" s="9" t="s">
        <v>178</v>
      </c>
      <c r="F93" s="22" t="n">
        <f aca="false">(B93*D93)/1000</f>
        <v>0</v>
      </c>
      <c r="G93" s="7" t="str">
        <f aca="false">("(" &amp; B93 &amp; " " &amp; C93 &amp; " x " &amp; D93 &amp; ") / 1000")</f>
        <v>(0 Units x 0) / 1000</v>
      </c>
      <c r="H93" s="27" t="str">
        <f aca="false">IF(B93&gt;0,"PLACEHOLDER FACTOR - result not valid, needs real data","")</f>
        <v/>
      </c>
    </row>
    <row r="94" customFormat="false" ht="15" hidden="false" customHeight="true" outlineLevel="0" collapsed="false">
      <c r="A94" s="19" t="s">
        <v>271</v>
      </c>
    </row>
    <row r="95" customFormat="false" ht="15" hidden="false" customHeight="true" outlineLevel="0" collapsed="false">
      <c r="A95" s="10" t="s">
        <v>272</v>
      </c>
      <c r="B95" s="20" t="n">
        <v>0</v>
      </c>
      <c r="C95" s="10" t="s">
        <v>273</v>
      </c>
      <c r="D95" s="21" t="n">
        <f aca="false">VLOOKUP("Product_Use_Phase_Energy", DB_Master!$A:$B, 2, 0)</f>
        <v>0</v>
      </c>
      <c r="E95" s="9" t="s">
        <v>178</v>
      </c>
      <c r="F95" s="22" t="n">
        <f aca="false">(B95*D95)/1000</f>
        <v>0</v>
      </c>
      <c r="G95" s="7" t="str">
        <f aca="false">("(" &amp; B95 &amp; " " &amp; C95 &amp; " x " &amp; D95 &amp; ") / 1000")</f>
        <v>(0 Units Sold x 0) / 1000</v>
      </c>
      <c r="H95" s="27" t="str">
        <f aca="false">IF(B95&gt;0,"PLACEHOLDER FACTOR - result not valid, needs real data","")</f>
        <v/>
      </c>
    </row>
    <row r="96" customFormat="false" ht="15" hidden="false" customHeight="true" outlineLevel="0" collapsed="false">
      <c r="A96" s="19" t="s">
        <v>274</v>
      </c>
    </row>
    <row r="97" customFormat="false" ht="15" hidden="false" customHeight="true" outlineLevel="0" collapsed="false">
      <c r="A97" s="10" t="s">
        <v>275</v>
      </c>
      <c r="B97" s="20" t="n">
        <v>0</v>
      </c>
      <c r="C97" s="10" t="s">
        <v>273</v>
      </c>
      <c r="D97" s="21" t="n">
        <f aca="false">VLOOKUP("Product_EndOfLife", DB_Master!$A:$B, 2, 0)</f>
        <v>0</v>
      </c>
      <c r="E97" s="9" t="s">
        <v>178</v>
      </c>
      <c r="F97" s="22" t="n">
        <f aca="false">(B97*D97)/1000</f>
        <v>0</v>
      </c>
      <c r="G97" s="7" t="str">
        <f aca="false">("(" &amp; B97 &amp; " " &amp; C97 &amp; " x " &amp; D97 &amp; ") / 1000")</f>
        <v>(0 Units Sold x 0) / 1000</v>
      </c>
      <c r="H97" s="27" t="str">
        <f aca="false">IF(B97&gt;0,"PLACEHOLDER FACTOR - result not valid, needs real data","")</f>
        <v/>
      </c>
    </row>
    <row r="98" customFormat="false" ht="15" hidden="false" customHeight="true" outlineLevel="0" collapsed="false">
      <c r="A98" s="19" t="s">
        <v>276</v>
      </c>
    </row>
    <row r="99" customFormat="false" ht="15" hidden="false" customHeight="true" outlineLevel="0" collapsed="false">
      <c r="A99" s="10" t="s">
        <v>277</v>
      </c>
      <c r="B99" s="20" t="n">
        <v>0</v>
      </c>
      <c r="C99" s="10" t="s">
        <v>223</v>
      </c>
      <c r="D99" s="21" t="n">
        <f aca="false">VLOOKUP("Leased_Asset_Downstream", DB_Master!$A:$B, 2, 0)</f>
        <v>0</v>
      </c>
      <c r="E99" s="9" t="s">
        <v>178</v>
      </c>
      <c r="F99" s="22" t="n">
        <f aca="false">(B99*D99)/1000</f>
        <v>0</v>
      </c>
      <c r="G99" s="7" t="str">
        <f aca="false">("(" &amp; B99 &amp; " " &amp; C99 &amp; " x " &amp; D99 &amp; ") / 1000")</f>
        <v>(0 Units x 0) / 1000</v>
      </c>
      <c r="H99" s="27" t="str">
        <f aca="false">IF(B99&gt;0,"PLACEHOLDER FACTOR - result not valid, needs real data","")</f>
        <v/>
      </c>
    </row>
    <row r="100" customFormat="false" ht="15" hidden="false" customHeight="true" outlineLevel="0" collapsed="false">
      <c r="A100" s="19" t="s">
        <v>278</v>
      </c>
    </row>
    <row r="101" customFormat="false" ht="15" hidden="false" customHeight="true" outlineLevel="0" collapsed="false">
      <c r="A101" s="10" t="s">
        <v>279</v>
      </c>
      <c r="B101" s="20" t="n">
        <v>0</v>
      </c>
      <c r="C101" s="10" t="s">
        <v>280</v>
      </c>
      <c r="D101" s="21" t="n">
        <f aca="false">VLOOKUP("Franchise_Estimate", DB_Master!$A:$B, 2, 0)</f>
        <v>0</v>
      </c>
      <c r="E101" s="9" t="s">
        <v>178</v>
      </c>
      <c r="F101" s="22" t="n">
        <f aca="false">(B101*D101)/1000</f>
        <v>0</v>
      </c>
      <c r="G101" s="7" t="str">
        <f aca="false">("(" &amp; B101 &amp; " " &amp; C101 &amp; " x " &amp; D101 &amp; ") / 1000")</f>
        <v>(0 Franchises x 0) / 1000</v>
      </c>
      <c r="H101" s="27" t="str">
        <f aca="false">IF(B101&gt;0,"PLACEHOLDER FACTOR - result not valid, needs real data","")</f>
        <v/>
      </c>
    </row>
    <row r="102" customFormat="false" ht="15" hidden="false" customHeight="true" outlineLevel="0" collapsed="false">
      <c r="A102" s="19" t="s">
        <v>281</v>
      </c>
    </row>
    <row r="103" customFormat="false" ht="15" hidden="false" customHeight="true" outlineLevel="0" collapsed="false">
      <c r="A103" s="10" t="s">
        <v>282</v>
      </c>
      <c r="B103" s="20" t="n">
        <v>0</v>
      </c>
      <c r="C103" s="10" t="s">
        <v>283</v>
      </c>
      <c r="D103" s="21" t="n">
        <f aca="false">VLOOKUP("Investment_Equity_Share", DB_Master!$A:$B, 2, 0)</f>
        <v>0</v>
      </c>
      <c r="E103" s="9" t="s">
        <v>178</v>
      </c>
      <c r="F103" s="22" t="n">
        <f aca="false">(B103*D103)/1000</f>
        <v>0</v>
      </c>
      <c r="G103" s="7" t="str">
        <f aca="false">("(" &amp; B103 &amp; " " &amp; C103 &amp; " x " &amp; D103 &amp; ") / 1000")</f>
        <v>(0 INR Invested x 0) / 1000</v>
      </c>
      <c r="H103" s="27" t="str">
        <f aca="false">IF(B103&gt;0,"PLACEHOLDER FACTOR - result not valid, needs real data","")</f>
        <v/>
      </c>
    </row>
    <row r="104" customFormat="false" ht="15" hidden="false" customHeight="true" outlineLevel="0" collapsed="false">
      <c r="A104" s="10" t="s">
        <v>284</v>
      </c>
      <c r="B104" s="20" t="n">
        <v>0</v>
      </c>
      <c r="C104" s="10" t="s">
        <v>285</v>
      </c>
      <c r="D104" s="21" t="n">
        <f aca="false">VLOOKUP("Financed_Emissions_Passthrough", DB_Master!$A:$B, 2, 0)</f>
        <v>1</v>
      </c>
      <c r="E104" s="9" t="s">
        <v>178</v>
      </c>
      <c r="F104" s="22" t="n">
        <f aca="false">(B104*D104)/1000</f>
        <v>0</v>
      </c>
      <c r="G104" s="7" t="str">
        <f aca="false">("(" &amp; B104 &amp; " " &amp; C104 &amp; " x " &amp; D104 &amp; ") / 1000")</f>
        <v>(0 tCO2e Reported x 1) / 1000</v>
      </c>
    </row>
    <row r="106" customFormat="false" ht="15" hidden="false" customHeight="true" outlineLevel="0" collapsed="false">
      <c r="A106" s="23" t="s">
        <v>286</v>
      </c>
      <c r="B106" s="24"/>
      <c r="C106" s="24"/>
      <c r="D106" s="24"/>
      <c r="E106" s="24"/>
      <c r="F106" s="25" t="n">
        <f aca="false">SUM(F43:F104)</f>
        <v>0</v>
      </c>
      <c r="G106" s="24"/>
      <c r="H106" s="24"/>
    </row>
    <row r="108" customFormat="false" ht="15" hidden="false" customHeight="true" outlineLevel="0" collapsed="false">
      <c r="A108" s="28" t="s">
        <v>287</v>
      </c>
      <c r="B108" s="29"/>
      <c r="C108" s="29"/>
      <c r="D108" s="29"/>
      <c r="E108" s="29"/>
      <c r="F108" s="30" t="n">
        <f aca="false">SUM(F21,F31,F106)</f>
        <v>0</v>
      </c>
      <c r="G108" s="29"/>
      <c r="H108" s="29"/>
    </row>
    <row r="109" customFormat="false" ht="15" hidden="false" customHeight="true" outlineLevel="0" collapsed="false">
      <c r="A109" s="28" t="s">
        <v>288</v>
      </c>
      <c r="B109" s="29"/>
      <c r="C109" s="29"/>
      <c r="D109" s="29"/>
      <c r="E109" s="29"/>
      <c r="F109" s="30" t="n">
        <f aca="false">SUM(F21,F38,F106)</f>
        <v>0</v>
      </c>
      <c r="G109" s="29"/>
      <c r="H109" s="29"/>
    </row>
    <row r="110" customFormat="false" ht="15" hidden="false" customHeight="true" outlineLevel="0" collapsed="false">
      <c r="A110" s="26" t="s">
        <v>289</v>
      </c>
      <c r="B110" s="26"/>
      <c r="C110" s="26"/>
      <c r="D110" s="26"/>
      <c r="E110" s="26"/>
      <c r="F110" s="26"/>
      <c r="G110" s="26"/>
      <c r="H110" s="26"/>
    </row>
  </sheetData>
  <mergeCells count="2">
    <mergeCell ref="D85:H85"/>
    <mergeCell ref="A110:H110"/>
  </mergeCells>
  <dataValidations count="1">
    <dataValidation allowBlank="true" errorStyle="stop" operator="between" showDropDown="false" showErrorMessage="false" showInputMessage="false" sqref="E4:E8 E10:E12 E14:E16 E18:E19 E26:E29 E34:E36 E43:E50 E52:E55 E57:E59 E61:E65 E67:E70 E72:E77 E79:E84 E86:E87 E89:E91 E93 E95 E97 E99 E101 E103:E104" type="list">
      <formula1>"Metered,Invoiced/Utility Bill,Estimated,Industry-Average Proxy,Not Yet Assessed"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2025-11-22T16:20:39Z</dcterms:created>
  <dc:creator>ARUNACHALAM</dc:creator>
  <dc:description/>
  <dc:language>en-US</dc:language>
  <cp:lastModifiedBy/>
  <dcterms:modified xsi:type="dcterms:W3CDTF">2026-08-01T20:13:35Z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